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01_Data_NEW\work_308_Simulateurs_Site_KAM\"/>
    </mc:Choice>
  </mc:AlternateContent>
  <workbookProtection workbookPassword="B9C3" lockStructure="1"/>
  <bookViews>
    <workbookView xWindow="12090" yWindow="0" windowWidth="4125" windowHeight="7875"/>
  </bookViews>
  <sheets>
    <sheet name="Introduction" sheetId="9" r:id="rId1"/>
    <sheet name="Data" sheetId="3" r:id="rId2"/>
    <sheet name="Results I" sheetId="5" r:id="rId3"/>
    <sheet name="Results II" sheetId="6" r:id="rId4"/>
    <sheet name="Tariffs" sheetId="2" r:id="rId5"/>
  </sheets>
  <externalReferences>
    <externalReference r:id="rId6"/>
    <externalReference r:id="rId7"/>
    <externalReference r:id="rId8"/>
    <externalReference r:id="rId9"/>
  </externalReferences>
  <definedNames>
    <definedName name="Amercoeur">#REF!</definedName>
    <definedName name="AMOKO_WKK_Geel">#REF!</definedName>
    <definedName name="Angleur_3">#REF!</definedName>
    <definedName name="Awirs">#REF!</definedName>
    <definedName name="BIBI">'[1]Invoice Base'!#REF!</definedName>
    <definedName name="Combinaison_pas_prévue">Data!$K$8</definedName>
    <definedName name="Combinaison_pas_prévue_2">Data!$H$14</definedName>
    <definedName name="Coo">#REF!</definedName>
    <definedName name="COUCOU">'[2]Modèle Invoice Base'!#REF!</definedName>
    <definedName name="COUCOU2">'[2]Modèle Invoice Base'!#REF!</definedName>
    <definedName name="D_AB">Data!#REF!</definedName>
    <definedName name="D_CK">Data!#REF!</definedName>
    <definedName name="D_DA">Data!$F$85</definedName>
    <definedName name="D_Region">Data!$F$12</definedName>
    <definedName name="D_TA">Data!$F$87</definedName>
    <definedName name="D_Tension">Data!$F$10</definedName>
    <definedName name="D_Type">Data!$F$14</definedName>
    <definedName name="Doel">#REF!</definedName>
    <definedName name="Doel1_2">#REF!</definedName>
    <definedName name="Doel3_4">#REF!</definedName>
    <definedName name="ENER_01">Data!$H$61</definedName>
    <definedName name="ENER_02">Data!$H$62</definedName>
    <definedName name="ENER_03">Data!$H$63</definedName>
    <definedName name="ENER_04">Data!$H$64</definedName>
    <definedName name="ENER_05">Data!$H$65</definedName>
    <definedName name="ENER_06">Data!$H$66</definedName>
    <definedName name="ENER_07">Data!$H$67</definedName>
    <definedName name="ENER_08">Data!$H$68</definedName>
    <definedName name="ENER_09">Data!$H$69</definedName>
    <definedName name="ENER_10">Data!$H$70</definedName>
    <definedName name="ENER_11">Data!$H$71</definedName>
    <definedName name="ENER_12">Data!$H$72</definedName>
    <definedName name="ENER_PC_PTE">Data!$F$57</definedName>
    <definedName name="Energie_INJ">Data!$F$80</definedName>
    <definedName name="Gent_Ringvaart">#REF!</definedName>
    <definedName name="Herdersbrug">#REF!</definedName>
    <definedName name="Kallo">#REF!</definedName>
    <definedName name="Langerbrugge">#REF!</definedName>
    <definedName name="Langerlo">#REF!</definedName>
    <definedName name="Lignes_Energie_INJ">Data!$76:$82</definedName>
    <definedName name="Mol">#REF!</definedName>
    <definedName name="MOL_TAG">#REF!</definedName>
    <definedName name="Mol11_12">#REF!</definedName>
    <definedName name="Monceau">#REF!</definedName>
    <definedName name="Monsin_TAG">#REF!</definedName>
    <definedName name="NBH_01">Data!$F$61</definedName>
    <definedName name="NBH_02">Data!$F$62</definedName>
    <definedName name="NBH_03">Data!$F$63</definedName>
    <definedName name="NBH_04">Data!$F$64</definedName>
    <definedName name="NBH_05">Data!$F$65</definedName>
    <definedName name="NBH_06">Data!$F$66</definedName>
    <definedName name="NBH_07">Data!$F$67</definedName>
    <definedName name="NBH_08">Data!$F$68</definedName>
    <definedName name="NBH_09">Data!$F$69</definedName>
    <definedName name="NBH_10">Data!$F$70</definedName>
    <definedName name="NBH_11">Data!$F$71</definedName>
    <definedName name="NBH_12">Data!$F$72</definedName>
    <definedName name="PARAMS_IMPORT_DIR">[3]Contrôle!#REF!</definedName>
    <definedName name="PARAMS_IMPORT_FILE">[3]Contrôle!#REF!</definedName>
    <definedName name="PARAMS_IMPORT_FILENAME">[3]Contrôle!#REF!</definedName>
    <definedName name="PARAMS_IMPORT_LAST">[3]Contrôle!#REF!</definedName>
    <definedName name="PARAMS_IMPORT_LAST_DIR">[3]Contrôle!#REF!</definedName>
    <definedName name="_xlnm.Print_Area" localSheetId="0">Introduction!$B$2:$E$47</definedName>
    <definedName name="PUIS_01">Data!$F$25</definedName>
    <definedName name="PUIS_02">Data!$F$26</definedName>
    <definedName name="PUIS_03">Data!$F$27</definedName>
    <definedName name="PUIS_04">Data!$F$28</definedName>
    <definedName name="PUIS_05">Data!$F$29</definedName>
    <definedName name="PUIS_06">Data!$F$30</definedName>
    <definedName name="PUIS_07">Data!$F$31</definedName>
    <definedName name="PUIS_08">Data!$F$32</definedName>
    <definedName name="PUIS_09">Data!$F$33</definedName>
    <definedName name="PUIS_10">Data!$F$34</definedName>
    <definedName name="PUIS_11">Data!$F$35</definedName>
    <definedName name="PUIS_12">Data!$F$36</definedName>
    <definedName name="Rodenhuize">#REF!</definedName>
    <definedName name="Ruien">#REF!</definedName>
    <definedName name="SAP">'[4]Modèle Invoice Base'!#REF!</definedName>
    <definedName name="Schelle">#REF!</definedName>
    <definedName name="Seraing_STEG">#REF!</definedName>
    <definedName name="STEG_Drogenbos">#REF!</definedName>
    <definedName name="StGhilain_STEG">#REF!</definedName>
    <definedName name="Texte_AB">Data!#REF!</definedName>
    <definedName name="Texte_CK">Data!#REF!</definedName>
    <definedName name="Texte_DA">Data!$E$85</definedName>
    <definedName name="Texte_RI_NIV">'Results I'!$C$5</definedName>
    <definedName name="Texte_RI_REG">'Results I'!$C$6</definedName>
    <definedName name="Texte_RI_TC">'Results I'!$C$4</definedName>
    <definedName name="Texte_RI_TP">'Results I'!$C$7</definedName>
    <definedName name="Texte_RII_AB">'Results II'!#REF!</definedName>
    <definedName name="Texte_RII_CK">'Results II'!#REF!</definedName>
    <definedName name="Texte_RII_DA">'Results II'!$F$8</definedName>
    <definedName name="Texte_RII_NIV">'Results II'!$F$5</definedName>
    <definedName name="Texte_RII_REG">'Results II'!$F$6</definedName>
    <definedName name="Texte_RII_TA">'Results II'!$F$9</definedName>
    <definedName name="Texte_RII_TC">'Results II'!$F$4</definedName>
    <definedName name="Texte_RII_TP">'Results II'!$F$7</definedName>
    <definedName name="Texte_Surcharges">Data!$D$83</definedName>
    <definedName name="Texte_TA">Data!$E$87</definedName>
    <definedName name="Tihange">#REF!</definedName>
    <definedName name="Vilvoorde_STEG">#REF!</definedName>
  </definedNames>
  <calcPr calcId="162913"/>
</workbook>
</file>

<file path=xl/calcChain.xml><?xml version="1.0" encoding="utf-8"?>
<calcChain xmlns="http://schemas.openxmlformats.org/spreadsheetml/2006/main">
  <c r="C7" i="5" l="1"/>
  <c r="C6" i="5"/>
  <c r="C5" i="5"/>
  <c r="F9" i="6"/>
  <c r="F8" i="6"/>
  <c r="F7" i="6"/>
  <c r="F6" i="6"/>
  <c r="F5" i="6"/>
  <c r="M191" i="6" l="1"/>
  <c r="F202" i="6" l="1"/>
  <c r="F201" i="6"/>
  <c r="F200" i="6"/>
  <c r="F199" i="6"/>
  <c r="F198" i="6"/>
  <c r="F197" i="6"/>
  <c r="F196" i="6"/>
  <c r="F195" i="6"/>
  <c r="F194" i="6"/>
  <c r="F193" i="6"/>
  <c r="F192" i="6"/>
  <c r="F191" i="6"/>
  <c r="K202" i="6"/>
  <c r="I202" i="6"/>
  <c r="G202" i="6"/>
  <c r="K201" i="6"/>
  <c r="I201" i="6"/>
  <c r="G201" i="6"/>
  <c r="K200" i="6"/>
  <c r="I200" i="6"/>
  <c r="G200" i="6"/>
  <c r="K199" i="6"/>
  <c r="I199" i="6"/>
  <c r="G199" i="6"/>
  <c r="K198" i="6"/>
  <c r="I198" i="6"/>
  <c r="G198" i="6"/>
  <c r="K197" i="6"/>
  <c r="I197" i="6"/>
  <c r="G197" i="6"/>
  <c r="K196" i="6"/>
  <c r="I196" i="6"/>
  <c r="G196" i="6"/>
  <c r="K195" i="6"/>
  <c r="I195" i="6"/>
  <c r="G195" i="6"/>
  <c r="K194" i="6"/>
  <c r="I194" i="6"/>
  <c r="G194" i="6"/>
  <c r="K193" i="6"/>
  <c r="I193" i="6"/>
  <c r="G193" i="6"/>
  <c r="K192" i="6"/>
  <c r="I192" i="6"/>
  <c r="G192" i="6"/>
  <c r="K191" i="6"/>
  <c r="I191" i="6"/>
  <c r="G191" i="6"/>
  <c r="G47" i="3" l="1"/>
  <c r="I36" i="3" l="1"/>
  <c r="I35" i="3"/>
  <c r="I34" i="3"/>
  <c r="I33" i="3"/>
  <c r="I32" i="3"/>
  <c r="I31" i="3"/>
  <c r="I30" i="3"/>
  <c r="I29" i="3"/>
  <c r="I28" i="3"/>
  <c r="I27" i="3"/>
  <c r="I26" i="3"/>
  <c r="I25" i="3"/>
  <c r="M132" i="6" l="1"/>
  <c r="M133" i="6"/>
  <c r="J36" i="3" l="1"/>
  <c r="J35" i="3"/>
  <c r="J26" i="3"/>
  <c r="J27" i="3"/>
  <c r="J25" i="3"/>
  <c r="M135" i="6" l="1"/>
  <c r="M134" i="6"/>
  <c r="D20" i="5"/>
  <c r="H56" i="6" s="1"/>
  <c r="F38" i="6"/>
  <c r="F40" i="6"/>
  <c r="F41" i="6"/>
  <c r="F42" i="6"/>
  <c r="F44" i="6"/>
  <c r="F45" i="6"/>
  <c r="F46" i="6"/>
  <c r="F47" i="6"/>
  <c r="F48" i="6"/>
  <c r="F37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K280" i="6"/>
  <c r="I280" i="6"/>
  <c r="G280" i="6"/>
  <c r="K279" i="6"/>
  <c r="I279" i="6"/>
  <c r="G279" i="6"/>
  <c r="K278" i="6"/>
  <c r="I278" i="6"/>
  <c r="G278" i="6"/>
  <c r="K277" i="6"/>
  <c r="I277" i="6"/>
  <c r="G277" i="6"/>
  <c r="K276" i="6"/>
  <c r="I276" i="6"/>
  <c r="G276" i="6"/>
  <c r="K275" i="6"/>
  <c r="I275" i="6"/>
  <c r="G275" i="6"/>
  <c r="K274" i="6"/>
  <c r="I274" i="6"/>
  <c r="G274" i="6"/>
  <c r="K273" i="6"/>
  <c r="I273" i="6"/>
  <c r="G273" i="6"/>
  <c r="K272" i="6"/>
  <c r="I272" i="6"/>
  <c r="G272" i="6"/>
  <c r="K271" i="6"/>
  <c r="I271" i="6"/>
  <c r="G271" i="6"/>
  <c r="K270" i="6"/>
  <c r="I270" i="6"/>
  <c r="G270" i="6"/>
  <c r="K269" i="6"/>
  <c r="I269" i="6"/>
  <c r="G269" i="6"/>
  <c r="D267" i="6"/>
  <c r="D56" i="5"/>
  <c r="H273" i="6" s="1"/>
  <c r="D248" i="6"/>
  <c r="D229" i="6"/>
  <c r="D158" i="6"/>
  <c r="D140" i="6"/>
  <c r="D129" i="6"/>
  <c r="D50" i="5"/>
  <c r="H239" i="6" s="1"/>
  <c r="J239" i="6" s="1"/>
  <c r="E46" i="5"/>
  <c r="H217" i="6" s="1"/>
  <c r="D46" i="5"/>
  <c r="H165" i="6" s="1"/>
  <c r="K242" i="6"/>
  <c r="I242" i="6"/>
  <c r="G242" i="6"/>
  <c r="F242" i="6"/>
  <c r="K241" i="6"/>
  <c r="I241" i="6"/>
  <c r="G241" i="6"/>
  <c r="F241" i="6"/>
  <c r="K240" i="6"/>
  <c r="I240" i="6"/>
  <c r="G240" i="6"/>
  <c r="F240" i="6"/>
  <c r="K239" i="6"/>
  <c r="I239" i="6"/>
  <c r="G239" i="6"/>
  <c r="F239" i="6"/>
  <c r="K238" i="6"/>
  <c r="I238" i="6"/>
  <c r="G238" i="6"/>
  <c r="F238" i="6"/>
  <c r="K237" i="6"/>
  <c r="I237" i="6"/>
  <c r="G237" i="6"/>
  <c r="F237" i="6"/>
  <c r="K236" i="6"/>
  <c r="I236" i="6"/>
  <c r="G236" i="6"/>
  <c r="F236" i="6"/>
  <c r="K235" i="6"/>
  <c r="I235" i="6"/>
  <c r="G235" i="6"/>
  <c r="F235" i="6"/>
  <c r="K234" i="6"/>
  <c r="I234" i="6"/>
  <c r="G234" i="6"/>
  <c r="F234" i="6"/>
  <c r="K233" i="6"/>
  <c r="I233" i="6"/>
  <c r="G233" i="6"/>
  <c r="F233" i="6"/>
  <c r="K232" i="6"/>
  <c r="I232" i="6"/>
  <c r="G232" i="6"/>
  <c r="F232" i="6"/>
  <c r="K231" i="6"/>
  <c r="I231" i="6"/>
  <c r="G231" i="6"/>
  <c r="F231" i="6"/>
  <c r="K219" i="6"/>
  <c r="I219" i="6"/>
  <c r="G219" i="6"/>
  <c r="F219" i="6"/>
  <c r="K218" i="6"/>
  <c r="I218" i="6"/>
  <c r="G218" i="6"/>
  <c r="F218" i="6"/>
  <c r="K217" i="6"/>
  <c r="I217" i="6"/>
  <c r="G217" i="6"/>
  <c r="F217" i="6"/>
  <c r="K216" i="6"/>
  <c r="I216" i="6"/>
  <c r="G216" i="6"/>
  <c r="F216" i="6"/>
  <c r="K215" i="6"/>
  <c r="I215" i="6"/>
  <c r="G215" i="6"/>
  <c r="F215" i="6"/>
  <c r="K214" i="6"/>
  <c r="I214" i="6"/>
  <c r="G214" i="6"/>
  <c r="F214" i="6"/>
  <c r="K213" i="6"/>
  <c r="I213" i="6"/>
  <c r="G213" i="6"/>
  <c r="F213" i="6"/>
  <c r="K212" i="6"/>
  <c r="I212" i="6"/>
  <c r="G212" i="6"/>
  <c r="F212" i="6"/>
  <c r="K211" i="6"/>
  <c r="I211" i="6"/>
  <c r="G211" i="6"/>
  <c r="F211" i="6"/>
  <c r="K210" i="6"/>
  <c r="I210" i="6"/>
  <c r="G210" i="6"/>
  <c r="F210" i="6"/>
  <c r="K209" i="6"/>
  <c r="I209" i="6"/>
  <c r="G209" i="6"/>
  <c r="F209" i="6"/>
  <c r="K208" i="6"/>
  <c r="I208" i="6"/>
  <c r="G208" i="6"/>
  <c r="F208" i="6"/>
  <c r="K174" i="6"/>
  <c r="I174" i="6"/>
  <c r="G174" i="6"/>
  <c r="F174" i="6"/>
  <c r="K173" i="6"/>
  <c r="I173" i="6"/>
  <c r="G173" i="6"/>
  <c r="F173" i="6"/>
  <c r="K172" i="6"/>
  <c r="I172" i="6"/>
  <c r="G172" i="6"/>
  <c r="F172" i="6"/>
  <c r="K171" i="6"/>
  <c r="I171" i="6"/>
  <c r="G171" i="6"/>
  <c r="F171" i="6"/>
  <c r="K170" i="6"/>
  <c r="I170" i="6"/>
  <c r="G170" i="6"/>
  <c r="F170" i="6"/>
  <c r="K169" i="6"/>
  <c r="I169" i="6"/>
  <c r="G169" i="6"/>
  <c r="F169" i="6"/>
  <c r="K168" i="6"/>
  <c r="I168" i="6"/>
  <c r="G168" i="6"/>
  <c r="F168" i="6"/>
  <c r="K167" i="6"/>
  <c r="I167" i="6"/>
  <c r="G167" i="6"/>
  <c r="F167" i="6"/>
  <c r="K166" i="6"/>
  <c r="I166" i="6"/>
  <c r="G166" i="6"/>
  <c r="F166" i="6"/>
  <c r="K165" i="6"/>
  <c r="I165" i="6"/>
  <c r="G165" i="6"/>
  <c r="F165" i="6"/>
  <c r="K164" i="6"/>
  <c r="I164" i="6"/>
  <c r="G164" i="6"/>
  <c r="F164" i="6"/>
  <c r="K163" i="6"/>
  <c r="I163" i="6"/>
  <c r="G163" i="6"/>
  <c r="F163" i="6"/>
  <c r="D42" i="5"/>
  <c r="H143" i="6" s="1"/>
  <c r="D39" i="5"/>
  <c r="H132" i="6" s="1"/>
  <c r="K153" i="6"/>
  <c r="I153" i="6"/>
  <c r="G153" i="6"/>
  <c r="F153" i="6"/>
  <c r="K152" i="6"/>
  <c r="I152" i="6"/>
  <c r="G152" i="6"/>
  <c r="F152" i="6"/>
  <c r="K151" i="6"/>
  <c r="I151" i="6"/>
  <c r="G151" i="6"/>
  <c r="F151" i="6"/>
  <c r="K150" i="6"/>
  <c r="I150" i="6"/>
  <c r="G150" i="6"/>
  <c r="F150" i="6"/>
  <c r="K149" i="6"/>
  <c r="I149" i="6"/>
  <c r="G149" i="6"/>
  <c r="F149" i="6"/>
  <c r="K148" i="6"/>
  <c r="I148" i="6"/>
  <c r="G148" i="6"/>
  <c r="F148" i="6"/>
  <c r="K147" i="6"/>
  <c r="I147" i="6"/>
  <c r="G147" i="6"/>
  <c r="F147" i="6"/>
  <c r="K146" i="6"/>
  <c r="I146" i="6"/>
  <c r="G146" i="6"/>
  <c r="F146" i="6"/>
  <c r="K145" i="6"/>
  <c r="I145" i="6"/>
  <c r="G145" i="6"/>
  <c r="F145" i="6"/>
  <c r="K144" i="6"/>
  <c r="I144" i="6"/>
  <c r="G144" i="6"/>
  <c r="F144" i="6"/>
  <c r="K143" i="6"/>
  <c r="I143" i="6"/>
  <c r="G143" i="6"/>
  <c r="F143" i="6"/>
  <c r="K142" i="6"/>
  <c r="I142" i="6"/>
  <c r="G142" i="6"/>
  <c r="F142" i="6"/>
  <c r="K135" i="6"/>
  <c r="I135" i="6"/>
  <c r="G135" i="6"/>
  <c r="K134" i="6"/>
  <c r="I134" i="6"/>
  <c r="G134" i="6"/>
  <c r="K133" i="6"/>
  <c r="I133" i="6"/>
  <c r="G133" i="6"/>
  <c r="K132" i="6"/>
  <c r="I132" i="6"/>
  <c r="G132" i="6"/>
  <c r="M131" i="6"/>
  <c r="K131" i="6"/>
  <c r="I131" i="6"/>
  <c r="G131" i="6"/>
  <c r="D53" i="5"/>
  <c r="H250" i="6" s="1"/>
  <c r="K261" i="6"/>
  <c r="I261" i="6"/>
  <c r="G261" i="6"/>
  <c r="F261" i="6"/>
  <c r="K260" i="6"/>
  <c r="I260" i="6"/>
  <c r="G260" i="6"/>
  <c r="F260" i="6"/>
  <c r="K259" i="6"/>
  <c r="I259" i="6"/>
  <c r="G259" i="6"/>
  <c r="F259" i="6"/>
  <c r="K258" i="6"/>
  <c r="I258" i="6"/>
  <c r="G258" i="6"/>
  <c r="F258" i="6"/>
  <c r="K257" i="6"/>
  <c r="I257" i="6"/>
  <c r="G257" i="6"/>
  <c r="F257" i="6"/>
  <c r="K256" i="6"/>
  <c r="I256" i="6"/>
  <c r="G256" i="6"/>
  <c r="F256" i="6"/>
  <c r="K255" i="6"/>
  <c r="I255" i="6"/>
  <c r="G255" i="6"/>
  <c r="F255" i="6"/>
  <c r="K254" i="6"/>
  <c r="I254" i="6"/>
  <c r="G254" i="6"/>
  <c r="F254" i="6"/>
  <c r="K253" i="6"/>
  <c r="I253" i="6"/>
  <c r="G253" i="6"/>
  <c r="F253" i="6"/>
  <c r="K252" i="6"/>
  <c r="I252" i="6"/>
  <c r="G252" i="6"/>
  <c r="F252" i="6"/>
  <c r="K251" i="6"/>
  <c r="I251" i="6"/>
  <c r="G251" i="6"/>
  <c r="F251" i="6"/>
  <c r="K250" i="6"/>
  <c r="I250" i="6"/>
  <c r="G250" i="6"/>
  <c r="F250" i="6"/>
  <c r="G62" i="3"/>
  <c r="I62" i="3" s="1"/>
  <c r="G71" i="3"/>
  <c r="I71" i="3" s="1"/>
  <c r="G69" i="3"/>
  <c r="I69" i="3" s="1"/>
  <c r="G66" i="3"/>
  <c r="I66" i="3" s="1"/>
  <c r="G64" i="3"/>
  <c r="I64" i="3" s="1"/>
  <c r="G72" i="3"/>
  <c r="I72" i="3" s="1"/>
  <c r="G70" i="3"/>
  <c r="I70" i="3" s="1"/>
  <c r="G68" i="3"/>
  <c r="I68" i="3" s="1"/>
  <c r="G67" i="3"/>
  <c r="I67" i="3" s="1"/>
  <c r="G65" i="3"/>
  <c r="I65" i="3" s="1"/>
  <c r="G63" i="3"/>
  <c r="I63" i="3" s="1"/>
  <c r="G61" i="3"/>
  <c r="I61" i="3" s="1"/>
  <c r="F101" i="6"/>
  <c r="H73" i="3"/>
  <c r="F120" i="6"/>
  <c r="F119" i="6"/>
  <c r="F118" i="6"/>
  <c r="F117" i="6"/>
  <c r="F116" i="6"/>
  <c r="F115" i="6"/>
  <c r="F114" i="6"/>
  <c r="F113" i="6"/>
  <c r="F112" i="6"/>
  <c r="F111" i="6"/>
  <c r="F110" i="6"/>
  <c r="F109" i="6"/>
  <c r="F95" i="6"/>
  <c r="F94" i="6"/>
  <c r="F93" i="6"/>
  <c r="F92" i="6"/>
  <c r="F91" i="6"/>
  <c r="F90" i="6"/>
  <c r="F89" i="6"/>
  <c r="F88" i="6"/>
  <c r="F87" i="6"/>
  <c r="F86" i="6"/>
  <c r="F85" i="6"/>
  <c r="F75" i="6"/>
  <c r="F74" i="6"/>
  <c r="F73" i="6"/>
  <c r="F72" i="6"/>
  <c r="F71" i="6"/>
  <c r="F70" i="6"/>
  <c r="F69" i="6"/>
  <c r="F68" i="6"/>
  <c r="F67" i="6"/>
  <c r="F66" i="6"/>
  <c r="F65" i="6"/>
  <c r="F84" i="6"/>
  <c r="F64" i="6"/>
  <c r="F56" i="6"/>
  <c r="F43" i="6"/>
  <c r="F39" i="6"/>
  <c r="F29" i="6"/>
  <c r="F28" i="6"/>
  <c r="F27" i="6"/>
  <c r="F26" i="6"/>
  <c r="F25" i="6"/>
  <c r="F24" i="6"/>
  <c r="F23" i="6"/>
  <c r="F22" i="6"/>
  <c r="F21" i="6"/>
  <c r="F20" i="6"/>
  <c r="F19" i="6"/>
  <c r="F18" i="6"/>
  <c r="D24" i="5"/>
  <c r="H64" i="6" s="1"/>
  <c r="D17" i="5"/>
  <c r="H37" i="6" s="1"/>
  <c r="D14" i="5"/>
  <c r="H18" i="6" s="1"/>
  <c r="D28" i="5"/>
  <c r="H84" i="6" s="1"/>
  <c r="H85" i="6" s="1"/>
  <c r="H86" i="6" s="1"/>
  <c r="D35" i="5"/>
  <c r="H109" i="6" s="1"/>
  <c r="D31" i="5"/>
  <c r="H101" i="6" s="1"/>
  <c r="H232" i="6"/>
  <c r="J232" i="6" s="1"/>
  <c r="H238" i="6"/>
  <c r="J238" i="6" s="1"/>
  <c r="H231" i="6"/>
  <c r="J231" i="6" s="1"/>
  <c r="H241" i="6"/>
  <c r="J241" i="6" s="1"/>
  <c r="H234" i="6"/>
  <c r="J234" i="6" s="1"/>
  <c r="H233" i="6"/>
  <c r="J233" i="6" s="1"/>
  <c r="H235" i="6"/>
  <c r="J235" i="6" s="1"/>
  <c r="H242" i="6"/>
  <c r="J242" i="6" s="1"/>
  <c r="H240" i="6"/>
  <c r="J240" i="6" s="1"/>
  <c r="H236" i="6"/>
  <c r="J236" i="6" s="1"/>
  <c r="H147" i="6"/>
  <c r="H168" i="6"/>
  <c r="H237" i="6"/>
  <c r="J237" i="6" s="1"/>
  <c r="H170" i="6"/>
  <c r="H215" i="6"/>
  <c r="H172" i="6"/>
  <c r="H163" i="6" l="1"/>
  <c r="H171" i="6"/>
  <c r="H167" i="6"/>
  <c r="H218" i="6"/>
  <c r="J218" i="6" s="1"/>
  <c r="H174" i="6"/>
  <c r="H169" i="6"/>
  <c r="H164" i="6"/>
  <c r="H166" i="6"/>
  <c r="J166" i="6" s="1"/>
  <c r="H219" i="6"/>
  <c r="H173" i="6"/>
  <c r="J165" i="6"/>
  <c r="H214" i="6"/>
  <c r="H213" i="6"/>
  <c r="H212" i="6"/>
  <c r="H216" i="6"/>
  <c r="J216" i="6" s="1"/>
  <c r="H209" i="6"/>
  <c r="J209" i="6" s="1"/>
  <c r="H208" i="6"/>
  <c r="H211" i="6"/>
  <c r="H210" i="6"/>
  <c r="J210" i="6" s="1"/>
  <c r="H201" i="6"/>
  <c r="H197" i="6"/>
  <c r="H193" i="6"/>
  <c r="H194" i="6"/>
  <c r="J194" i="6" s="1"/>
  <c r="H200" i="6"/>
  <c r="H196" i="6"/>
  <c r="H192" i="6"/>
  <c r="H198" i="6"/>
  <c r="J198" i="6" s="1"/>
  <c r="H199" i="6"/>
  <c r="J199" i="6" s="1"/>
  <c r="H195" i="6"/>
  <c r="J195" i="6" s="1"/>
  <c r="H191" i="6"/>
  <c r="H202" i="6"/>
  <c r="J202" i="6" s="1"/>
  <c r="J201" i="6"/>
  <c r="J197" i="6"/>
  <c r="J193" i="6"/>
  <c r="J191" i="6"/>
  <c r="J200" i="6"/>
  <c r="J196" i="6"/>
  <c r="J192" i="6"/>
  <c r="J163" i="6"/>
  <c r="J164" i="6"/>
  <c r="J167" i="6"/>
  <c r="J168" i="6"/>
  <c r="J169" i="6"/>
  <c r="J170" i="6"/>
  <c r="J171" i="6"/>
  <c r="J172" i="6"/>
  <c r="J173" i="6"/>
  <c r="J174" i="6"/>
  <c r="J217" i="6"/>
  <c r="J214" i="6"/>
  <c r="J219" i="6"/>
  <c r="J212" i="6"/>
  <c r="J211" i="6"/>
  <c r="J208" i="6"/>
  <c r="J215" i="6"/>
  <c r="J213" i="6"/>
  <c r="H134" i="6"/>
  <c r="H133" i="6"/>
  <c r="H135" i="6"/>
  <c r="H279" i="6"/>
  <c r="H149" i="6"/>
  <c r="J149" i="6" s="1"/>
  <c r="H152" i="6"/>
  <c r="J152" i="6" s="1"/>
  <c r="H150" i="6"/>
  <c r="J150" i="6" s="1"/>
  <c r="H148" i="6"/>
  <c r="J148" i="6" s="1"/>
  <c r="H151" i="6"/>
  <c r="J151" i="6" s="1"/>
  <c r="H145" i="6"/>
  <c r="H142" i="6"/>
  <c r="J142" i="6" s="1"/>
  <c r="H275" i="6"/>
  <c r="J275" i="6" s="1"/>
  <c r="H146" i="6"/>
  <c r="J146" i="6" s="1"/>
  <c r="H153" i="6"/>
  <c r="H144" i="6"/>
  <c r="J144" i="6" s="1"/>
  <c r="H131" i="6"/>
  <c r="J101" i="6"/>
  <c r="F134" i="6"/>
  <c r="F133" i="6"/>
  <c r="F132" i="6"/>
  <c r="J132" i="6" s="1"/>
  <c r="F135" i="6"/>
  <c r="F131" i="6"/>
  <c r="J279" i="6"/>
  <c r="H278" i="6"/>
  <c r="J278" i="6" s="1"/>
  <c r="H270" i="6"/>
  <c r="J270" i="6" s="1"/>
  <c r="H271" i="6"/>
  <c r="J271" i="6" s="1"/>
  <c r="H272" i="6"/>
  <c r="J272" i="6" s="1"/>
  <c r="H276" i="6"/>
  <c r="J276" i="6" s="1"/>
  <c r="H280" i="6"/>
  <c r="J280" i="6" s="1"/>
  <c r="H274" i="6"/>
  <c r="J274" i="6" s="1"/>
  <c r="H277" i="6"/>
  <c r="J277" i="6" s="1"/>
  <c r="H269" i="6"/>
  <c r="J269" i="6" s="1"/>
  <c r="J273" i="6"/>
  <c r="H257" i="6"/>
  <c r="J257" i="6" s="1"/>
  <c r="J56" i="6"/>
  <c r="J37" i="6"/>
  <c r="H256" i="6"/>
  <c r="J256" i="6" s="1"/>
  <c r="H252" i="6"/>
  <c r="J252" i="6" s="1"/>
  <c r="H253" i="6"/>
  <c r="J253" i="6" s="1"/>
  <c r="J84" i="6"/>
  <c r="H254" i="6"/>
  <c r="J254" i="6" s="1"/>
  <c r="H255" i="6"/>
  <c r="J255" i="6" s="1"/>
  <c r="H259" i="6"/>
  <c r="J259" i="6" s="1"/>
  <c r="H251" i="6"/>
  <c r="J251" i="6" s="1"/>
  <c r="H258" i="6"/>
  <c r="J258" i="6" s="1"/>
  <c r="H260" i="6"/>
  <c r="J260" i="6" s="1"/>
  <c r="H261" i="6"/>
  <c r="J261" i="6" s="1"/>
  <c r="J85" i="6"/>
  <c r="J86" i="6"/>
  <c r="J250" i="6"/>
  <c r="J143" i="6"/>
  <c r="J145" i="6"/>
  <c r="J147" i="6"/>
  <c r="J153" i="6"/>
  <c r="J244" i="6"/>
  <c r="H38" i="6"/>
  <c r="H39" i="6" s="1"/>
  <c r="J39" i="6" s="1"/>
  <c r="H19" i="6"/>
  <c r="J18" i="6"/>
  <c r="J109" i="6"/>
  <c r="H110" i="6"/>
  <c r="H65" i="6"/>
  <c r="J64" i="6"/>
  <c r="H87" i="6"/>
  <c r="J134" i="6" l="1"/>
  <c r="J204" i="6"/>
  <c r="J221" i="6"/>
  <c r="J176" i="6"/>
  <c r="J131" i="6"/>
  <c r="J282" i="6"/>
  <c r="J133" i="6"/>
  <c r="J38" i="6"/>
  <c r="J263" i="6"/>
  <c r="J155" i="6"/>
  <c r="J135" i="6"/>
  <c r="H40" i="6"/>
  <c r="J40" i="6" s="1"/>
  <c r="H20" i="6"/>
  <c r="J19" i="6"/>
  <c r="H88" i="6"/>
  <c r="J87" i="6"/>
  <c r="J65" i="6"/>
  <c r="H66" i="6"/>
  <c r="H111" i="6"/>
  <c r="J110" i="6"/>
  <c r="J284" i="6" l="1"/>
  <c r="J223" i="6"/>
  <c r="J296" i="6" s="1"/>
  <c r="J137" i="6"/>
  <c r="J178" i="6" s="1"/>
  <c r="H112" i="6"/>
  <c r="J111" i="6"/>
  <c r="J88" i="6"/>
  <c r="H89" i="6"/>
  <c r="J66" i="6"/>
  <c r="H67" i="6"/>
  <c r="H41" i="6"/>
  <c r="J41" i="6" s="1"/>
  <c r="J20" i="6"/>
  <c r="H21" i="6"/>
  <c r="J67" i="6" l="1"/>
  <c r="H68" i="6"/>
  <c r="J112" i="6"/>
  <c r="H113" i="6"/>
  <c r="J21" i="6"/>
  <c r="H22" i="6"/>
  <c r="H42" i="6"/>
  <c r="J42" i="6" s="1"/>
  <c r="J89" i="6"/>
  <c r="H90" i="6"/>
  <c r="J90" i="6" l="1"/>
  <c r="H91" i="6"/>
  <c r="H23" i="6"/>
  <c r="J22" i="6"/>
  <c r="H69" i="6"/>
  <c r="J68" i="6"/>
  <c r="H114" i="6"/>
  <c r="J113" i="6"/>
  <c r="H43" i="6"/>
  <c r="J43" i="6" s="1"/>
  <c r="H44" i="6" l="1"/>
  <c r="J44" i="6" s="1"/>
  <c r="H115" i="6"/>
  <c r="J114" i="6"/>
  <c r="J23" i="6"/>
  <c r="H24" i="6"/>
  <c r="H92" i="6"/>
  <c r="J91" i="6"/>
  <c r="H70" i="6"/>
  <c r="J69" i="6"/>
  <c r="J24" i="6" l="1"/>
  <c r="H25" i="6"/>
  <c r="J70" i="6"/>
  <c r="H71" i="6"/>
  <c r="H45" i="6"/>
  <c r="J45" i="6" s="1"/>
  <c r="H93" i="6"/>
  <c r="J92" i="6"/>
  <c r="H116" i="6"/>
  <c r="J115" i="6"/>
  <c r="H117" i="6" l="1"/>
  <c r="J116" i="6"/>
  <c r="J25" i="6"/>
  <c r="H26" i="6"/>
  <c r="H46" i="6"/>
  <c r="J46" i="6" s="1"/>
  <c r="H72" i="6"/>
  <c r="J71" i="6"/>
  <c r="H94" i="6"/>
  <c r="J93" i="6"/>
  <c r="J94" i="6" l="1"/>
  <c r="H95" i="6"/>
  <c r="J95" i="6" s="1"/>
  <c r="H47" i="6"/>
  <c r="J47" i="6" s="1"/>
  <c r="J26" i="6"/>
  <c r="H27" i="6"/>
  <c r="J72" i="6"/>
  <c r="H73" i="6"/>
  <c r="H118" i="6"/>
  <c r="J117" i="6"/>
  <c r="J118" i="6" l="1"/>
  <c r="H119" i="6"/>
  <c r="H48" i="6"/>
  <c r="J73" i="6"/>
  <c r="H74" i="6"/>
  <c r="J27" i="6"/>
  <c r="H28" i="6"/>
  <c r="J97" i="6"/>
  <c r="J103" i="6" s="1"/>
  <c r="J48" i="6" l="1"/>
  <c r="J50" i="6" s="1"/>
  <c r="H29" i="6"/>
  <c r="J29" i="6" s="1"/>
  <c r="J28" i="6"/>
  <c r="J74" i="6"/>
  <c r="H75" i="6"/>
  <c r="J75" i="6" s="1"/>
  <c r="H120" i="6"/>
  <c r="J120" i="6" s="1"/>
  <c r="J119" i="6"/>
  <c r="J122" i="6" l="1"/>
  <c r="J31" i="6"/>
  <c r="J58" i="6" s="1"/>
  <c r="J77" i="6"/>
  <c r="J290" i="6" l="1"/>
  <c r="J288" i="6"/>
  <c r="J292" i="6" l="1"/>
  <c r="J298" i="6" s="1"/>
</calcChain>
</file>

<file path=xl/sharedStrings.xml><?xml version="1.0" encoding="utf-8"?>
<sst xmlns="http://schemas.openxmlformats.org/spreadsheetml/2006/main" count="669" uniqueCount="190">
  <si>
    <t>MW *</t>
  </si>
  <si>
    <t>€/kW =</t>
  </si>
  <si>
    <t>€</t>
  </si>
  <si>
    <t>MWh *</t>
  </si>
  <si>
    <t>€/MWh =</t>
  </si>
  <si>
    <t>0-1000</t>
  </si>
  <si>
    <t>1000-20000</t>
  </si>
  <si>
    <t>20000-100000</t>
  </si>
  <si>
    <t>100000-250000</t>
  </si>
  <si>
    <t>&gt;250000</t>
  </si>
  <si>
    <t>MVA *</t>
  </si>
  <si>
    <t>€/kVA</t>
  </si>
  <si>
    <t>Disclaimer :</t>
  </si>
  <si>
    <t>On the 380/220/150 kV network</t>
  </si>
  <si>
    <t>On the 70/36/30 kV network</t>
  </si>
  <si>
    <t>At transformer output to medium voltage</t>
  </si>
  <si>
    <t>Customer directly connected to the Elia grid</t>
  </si>
  <si>
    <t>Results</t>
  </si>
  <si>
    <t>To obtain an optimal use of this document, it is recomended to download it before use.</t>
  </si>
  <si>
    <t>Connection tariffs and tariffs for imbalance are not handled here.</t>
  </si>
  <si>
    <t>This file and the information included herein (including tariffs) are given for information purposes only.</t>
  </si>
  <si>
    <t>These elements are aiming at facilitating the computation of the use of system charges, for one given grid</t>
  </si>
  <si>
    <t>user connected to one given point. The given information and tariffs, as well as the results of the</t>
  </si>
  <si>
    <t>simulation, are not of contractual nature. They do not constitute an offer for the conclusion of any contract,</t>
  </si>
  <si>
    <t>and do not engage Elia in any way.</t>
  </si>
  <si>
    <t>Elia does not guarantee the adequacy, accurracy or completeness of the given information and/or</t>
  </si>
  <si>
    <t>computed results, nor the period in wich the mentioned charges will be valid. Elia cannot be held</t>
  </si>
  <si>
    <t>responsible for the consequences arising from the possible uncompleteness or inaccuracy of the given</t>
  </si>
  <si>
    <t>information and tariffs, as well as in case these information and tariffs are not up to date.</t>
  </si>
  <si>
    <t>Are you Access Holder ?</t>
  </si>
  <si>
    <t>Region:</t>
  </si>
  <si>
    <t>Infrastructure level:</t>
  </si>
  <si>
    <t>Type of customer:</t>
  </si>
  <si>
    <r>
      <t xml:space="preserve">  </t>
    </r>
    <r>
      <rPr>
        <b/>
        <u/>
        <sz val="12"/>
        <rFont val="Arial"/>
        <family val="2"/>
      </rPr>
      <t>Data to be provided by the user</t>
    </r>
  </si>
  <si>
    <t>Yearly peak</t>
  </si>
  <si>
    <r>
      <t xml:space="preserve">3. </t>
    </r>
    <r>
      <rPr>
        <b/>
        <u/>
        <sz val="10"/>
        <rFont val="Arial"/>
        <family val="2"/>
      </rPr>
      <t>Power put at disposal (in MVA)</t>
    </r>
  </si>
  <si>
    <t>Please fill in, the power put at disposal of the offtake point.</t>
  </si>
  <si>
    <t>Number of monthly hours</t>
  </si>
  <si>
    <t>Maximum monthly energy</t>
  </si>
  <si>
    <t>Monthly energy</t>
  </si>
  <si>
    <t>Thanks !</t>
  </si>
  <si>
    <t>The results can be consulted on the sheets "Results I" et "Results II".</t>
  </si>
  <si>
    <t>Tariffs for:</t>
  </si>
  <si>
    <t>TARIFFS</t>
  </si>
  <si>
    <r>
      <rPr>
        <b/>
        <sz val="12"/>
        <rFont val="Arial"/>
        <family val="2"/>
      </rPr>
      <t xml:space="preserve">A. </t>
    </r>
    <r>
      <rPr>
        <b/>
        <u/>
        <sz val="12"/>
        <rFont val="Arial"/>
        <family val="2"/>
      </rPr>
      <t xml:space="preserve">Tariffs for the management and the development of the grid infrastructure </t>
    </r>
  </si>
  <si>
    <t>1. Tariffs for the monthly peak</t>
  </si>
  <si>
    <t>2. Tariffs for the yearly peak</t>
  </si>
  <si>
    <t>3. Tariffs for the power put at disposal</t>
  </si>
  <si>
    <t>Additional AP</t>
  </si>
  <si>
    <t>Principal AP</t>
  </si>
  <si>
    <t>€/kVA at offtake by year</t>
  </si>
  <si>
    <r>
      <rPr>
        <b/>
        <sz val="12"/>
        <rFont val="Arial"/>
        <family val="2"/>
      </rPr>
      <t xml:space="preserve">B. </t>
    </r>
    <r>
      <rPr>
        <b/>
        <u/>
        <sz val="12"/>
        <rFont val="Arial"/>
        <family val="2"/>
      </rPr>
      <t>Tariffs for the management fo the electric system</t>
    </r>
  </si>
  <si>
    <t>1. based on offtake</t>
  </si>
  <si>
    <t>2. based on injection</t>
  </si>
  <si>
    <r>
      <rPr>
        <b/>
        <sz val="12"/>
        <rFont val="Arial"/>
        <family val="2"/>
      </rPr>
      <t xml:space="preserve">D. </t>
    </r>
    <r>
      <rPr>
        <b/>
        <u/>
        <sz val="12"/>
        <rFont val="Arial"/>
        <family val="2"/>
      </rPr>
      <t>Tariffs for market integration</t>
    </r>
  </si>
  <si>
    <t>First term</t>
  </si>
  <si>
    <t>Second term</t>
  </si>
  <si>
    <t>€/MWh exempted</t>
  </si>
  <si>
    <t>access to the grid (*), for public service obligations &amp; for taxes and levies.</t>
  </si>
  <si>
    <t>This simulation shows how the amounts related to the access to the Elia-grid by grid users are computed.</t>
  </si>
  <si>
    <t>taken into account.</t>
  </si>
  <si>
    <t>Type of access point:</t>
  </si>
  <si>
    <t>The simulation can be used by customers directly connected to the Elia grid, with or without local</t>
  </si>
  <si>
    <t>To use the file, fill-in the description of the access profile, on the sheet "Data". Results are shown on the</t>
  </si>
  <si>
    <t>sheets "Results I" (tariffs applicable in the given access point) and "Results II" (amounts linked to the terms</t>
  </si>
  <si>
    <t>for access to the grid, for public service obligations &amp; for taxes and levies in the given access point).</t>
  </si>
  <si>
    <r>
      <t xml:space="preserve">1. </t>
    </r>
    <r>
      <rPr>
        <b/>
        <u/>
        <sz val="10"/>
        <rFont val="Arial"/>
        <family val="2"/>
      </rPr>
      <t>Description of the access point</t>
    </r>
  </si>
  <si>
    <t>January</t>
  </si>
  <si>
    <t>February</t>
  </si>
  <si>
    <t>March</t>
  </si>
  <si>
    <t>April</t>
  </si>
  <si>
    <t>May</t>
  </si>
  <si>
    <t>Jun</t>
  </si>
  <si>
    <t>July</t>
  </si>
  <si>
    <t>August</t>
  </si>
  <si>
    <t>September</t>
  </si>
  <si>
    <t>October</t>
  </si>
  <si>
    <t>November</t>
  </si>
  <si>
    <t>December</t>
  </si>
  <si>
    <t xml:space="preserve">Access Holder:   </t>
  </si>
  <si>
    <t xml:space="preserve">Type of activity:  </t>
  </si>
  <si>
    <r>
      <t xml:space="preserve">C. </t>
    </r>
    <r>
      <rPr>
        <b/>
        <u/>
        <sz val="12"/>
        <rFont val="Arial"/>
        <family val="2"/>
      </rPr>
      <t>Tariffs for the power reserves and black-start</t>
    </r>
  </si>
  <si>
    <r>
      <rPr>
        <b/>
        <sz val="12"/>
        <rFont val="Arial"/>
        <family val="2"/>
      </rPr>
      <t xml:space="preserve">E. </t>
    </r>
    <r>
      <rPr>
        <b/>
        <u/>
        <sz val="12"/>
        <rFont val="Arial"/>
        <family val="2"/>
      </rPr>
      <t>Tariffs for public service obligations</t>
    </r>
  </si>
  <si>
    <r>
      <rPr>
        <b/>
        <sz val="12"/>
        <rFont val="Arial"/>
        <family val="2"/>
      </rPr>
      <t xml:space="preserve">F. </t>
    </r>
    <r>
      <rPr>
        <b/>
        <u/>
        <sz val="12"/>
        <rFont val="Arial"/>
        <family val="2"/>
      </rPr>
      <t>Taxes and levies</t>
    </r>
  </si>
  <si>
    <r>
      <rPr>
        <b/>
        <sz val="12"/>
        <rFont val="Arial"/>
        <family val="2"/>
      </rPr>
      <t xml:space="preserve">C. </t>
    </r>
    <r>
      <rPr>
        <b/>
        <u/>
        <sz val="12"/>
        <rFont val="Arial"/>
        <family val="2"/>
      </rPr>
      <t>Tariffs for the power reserves and black-start</t>
    </r>
  </si>
  <si>
    <t xml:space="preserve">a. Terms for the management and the development of the grid infrastructure </t>
  </si>
  <si>
    <t>Monthly peak</t>
  </si>
  <si>
    <t>Tariff</t>
  </si>
  <si>
    <t>Amount</t>
  </si>
  <si>
    <t>Power</t>
  </si>
  <si>
    <t>Range</t>
  </si>
  <si>
    <t>Degressivity</t>
  </si>
  <si>
    <t>Exoneration</t>
  </si>
  <si>
    <t>Tariff for first term</t>
  </si>
  <si>
    <t>Tariff for second term</t>
  </si>
  <si>
    <r>
      <t xml:space="preserve">a.1) </t>
    </r>
    <r>
      <rPr>
        <b/>
        <u/>
        <sz val="10"/>
        <rFont val="Arial"/>
        <family val="2"/>
      </rPr>
      <t>Terms for the monthly peak :</t>
    </r>
  </si>
  <si>
    <t xml:space="preserve">Total term for the monthly peak :  </t>
  </si>
  <si>
    <r>
      <t xml:space="preserve">a.2) </t>
    </r>
    <r>
      <rPr>
        <b/>
        <u/>
        <sz val="10"/>
        <rFont val="Arial"/>
        <family val="2"/>
      </rPr>
      <t>Terms for the yearly peak :</t>
    </r>
  </si>
  <si>
    <r>
      <t xml:space="preserve">a.3) </t>
    </r>
    <r>
      <rPr>
        <b/>
        <u/>
        <sz val="10"/>
        <rFont val="Arial"/>
        <family val="2"/>
      </rPr>
      <t>Terms  for the power put at disposal :</t>
    </r>
  </si>
  <si>
    <t xml:space="preserve">Total term for the yearly peak :  </t>
  </si>
  <si>
    <t>Total term  for the management and the development of the grid infrastructure  :</t>
  </si>
  <si>
    <t>b) Terms for the management fo the electric system :</t>
  </si>
  <si>
    <t xml:space="preserve">Total term for the management fo the electric system :  </t>
  </si>
  <si>
    <t>c) Terms for the power reserves and black-start :</t>
  </si>
  <si>
    <t>c.1. based on offtake :</t>
  </si>
  <si>
    <t>c.2. based on injection :</t>
  </si>
  <si>
    <t>Total term  for the power reserves and black-start based on offtake :</t>
  </si>
  <si>
    <t>Total term  for the power reserves and black-start :</t>
  </si>
  <si>
    <t>d) Terms for market integration :</t>
  </si>
  <si>
    <t xml:space="preserve">Total term for market integration :  </t>
  </si>
  <si>
    <r>
      <t xml:space="preserve">e) </t>
    </r>
    <r>
      <rPr>
        <b/>
        <u/>
        <sz val="10"/>
        <rFont val="Arial"/>
        <family val="2"/>
      </rPr>
      <t>Terms for public service obligations :</t>
    </r>
  </si>
  <si>
    <t xml:space="preserve">Total term for financing the support measures for renewable energy :  </t>
  </si>
  <si>
    <t xml:space="preserve">Total term for financing measures for promotion of rational use of energy :  </t>
  </si>
  <si>
    <t xml:space="preserve">Total term for public service obligations :  </t>
  </si>
  <si>
    <r>
      <t xml:space="preserve">f) </t>
    </r>
    <r>
      <rPr>
        <b/>
        <u/>
        <sz val="10"/>
        <rFont val="Arial"/>
        <family val="2"/>
      </rPr>
      <t>Taxes and levies :</t>
    </r>
  </si>
  <si>
    <t xml:space="preserve">Total term for occupying public domain in Walloon Region :  </t>
  </si>
  <si>
    <t xml:space="preserve">Total term for occupying road network :  </t>
  </si>
  <si>
    <t xml:space="preserve">Total term for levie for the taxes "pylons" et "trenches" :  </t>
  </si>
  <si>
    <t xml:space="preserve">Total for taxes and levies :  </t>
  </si>
  <si>
    <t xml:space="preserve">Yearly total (except public service obligations &amp; taxes and levies) :  </t>
  </si>
  <si>
    <t xml:space="preserve">Total for public service obligations  &amp; taxes and levies :  </t>
  </si>
  <si>
    <t>€/kW net offtaken by month</t>
  </si>
  <si>
    <t>€/kW net offtaken by year</t>
  </si>
  <si>
    <t>€/MWh net offtaken</t>
  </si>
  <si>
    <t>€/MWh net injected</t>
  </si>
  <si>
    <t>Net offtaken energy</t>
  </si>
  <si>
    <t>Net injected energy</t>
  </si>
  <si>
    <t>Net offtaken energy by range</t>
  </si>
  <si>
    <r>
      <t xml:space="preserve">2. </t>
    </r>
    <r>
      <rPr>
        <b/>
        <u/>
        <sz val="10"/>
        <rFont val="Arial"/>
        <family val="2"/>
      </rPr>
      <t>Net offtake peak (in MW)</t>
    </r>
  </si>
  <si>
    <t>Please, fill in the net offtake peak for each month (column A).</t>
  </si>
  <si>
    <t>Please, fill also in the net offtake peak realised during the hours 17-20, weekend and holidays</t>
  </si>
  <si>
    <r>
      <t xml:space="preserve">4. </t>
    </r>
    <r>
      <rPr>
        <b/>
        <u/>
        <sz val="10"/>
        <rFont val="Arial"/>
        <family val="2"/>
      </rPr>
      <t>Net offtaken energy (in MWh)</t>
    </r>
  </si>
  <si>
    <t>Please, fill in the net offtaken energy for each month.</t>
  </si>
  <si>
    <t>5. Net injected energy (in MWh)</t>
  </si>
  <si>
    <t>Please, fill in the net injected energy for the year, if applicable.</t>
  </si>
  <si>
    <t>(*)   Except of the tariff for supplementary deliveries of reactive energy and the tariff for any exceeding</t>
  </si>
  <si>
    <t>of the power put at disposal.</t>
  </si>
  <si>
    <t xml:space="preserve">         The power at disposal needs to take into account the power of the installations</t>
  </si>
  <si>
    <t xml:space="preserve">         situated behind the access point.</t>
  </si>
  <si>
    <t>peaks filled in above and thereupon push on the button.</t>
  </si>
  <si>
    <t>If you wish so, you can introduce an utilisation % for automatic calculation of the monthly energies based on the net offtake</t>
  </si>
  <si>
    <t>B
(year 2020)</t>
  </si>
  <si>
    <t>What is the type of your activity?</t>
  </si>
  <si>
    <t>No</t>
  </si>
  <si>
    <t>With this simulator, Elia is aiming at giving more information to all market players, on the tariff conditions for</t>
  </si>
  <si>
    <t>The region in which the access point is located, the infrastructure level and the type of access point is also</t>
  </si>
  <si>
    <t>production in the same access point.  The simulation is not intended for distribution grid operators.</t>
  </si>
  <si>
    <t>The simulation is not intended for offshore access points connected to the MOG and access points of the country Luxemburg . If you wish to receive a simulation for these access points, please contact your KAM.</t>
  </si>
  <si>
    <r>
      <t>Please, fill in infrastructure level, region and type of</t>
    </r>
    <r>
      <rPr>
        <b/>
        <i/>
        <sz val="10"/>
        <color rgb="FF0000FF"/>
        <rFont val="Arial"/>
        <family val="2"/>
      </rPr>
      <t xml:space="preserve"> access </t>
    </r>
    <r>
      <rPr>
        <b/>
        <i/>
        <sz val="10"/>
        <color indexed="12"/>
        <rFont val="Arial"/>
        <family val="2"/>
      </rPr>
      <t>point.</t>
    </r>
  </si>
  <si>
    <t>P.S. : For each month, the value in column B is always smaller or equal to the value in column A for the year 2020.</t>
  </si>
  <si>
    <t>excluded, only during the months of January to March and November to December (column B)</t>
  </si>
  <si>
    <t>P.S. : The power put at disposal must be at least equal to the maximum offtake peak of the year.</t>
  </si>
  <si>
    <t>and sector agreement and/or convenant</t>
  </si>
  <si>
    <t>Other</t>
  </si>
  <si>
    <t>The determination of the tariff does not depend on the previous year but on the year selected by reference contrary to what is provided for in the tariffs.</t>
  </si>
  <si>
    <t>on the basis of the offtake and tariff defined by the SPW.</t>
  </si>
  <si>
    <t>The principles are described in the guidelines published by the SPW.</t>
  </si>
  <si>
    <t>For more information, visit https://www.elia.be/fr/clients/certificats-verts-et-surcharges/wallonie-exemptions-partielles#Partial exemptions. (n French)</t>
  </si>
  <si>
    <t>Taken into account in the calculation if access holder in Wallonia</t>
  </si>
  <si>
    <t>The credit of the exemption of the first component and the invoicing of the second component are made on a quarterly basis of a file received by the SPW</t>
  </si>
  <si>
    <t>The calculation below is purely indicative on the basis of the volume of offtake and on the basis of the tariff of the first component.</t>
  </si>
  <si>
    <t xml:space="preserve">Total exemption :  </t>
  </si>
  <si>
    <t xml:space="preserve">Total second component renewable energy support measures :  </t>
  </si>
  <si>
    <t xml:space="preserve">Total first-component exemption and second-component billing for renewable energy support measures :  </t>
  </si>
  <si>
    <r>
      <t xml:space="preserve">Annual total (with public service obligations &amp; taxes and surcharges </t>
    </r>
    <r>
      <rPr>
        <b/>
        <sz val="12"/>
        <color rgb="FFFF0000"/>
        <rFont val="Arial"/>
        <family val="2"/>
      </rPr>
      <t>excluding</t>
    </r>
    <r>
      <rPr>
        <b/>
        <sz val="12"/>
        <color theme="1"/>
        <rFont val="Arial"/>
        <family val="2"/>
      </rPr>
      <t xml:space="preserve"> first-component exemption and second-component billing for renewable energy support measures (Wallonia)):</t>
    </r>
  </si>
  <si>
    <t>Total first-component exemption and second-component billing for renewable energy support measures (Wallonia):</t>
  </si>
  <si>
    <r>
      <t xml:space="preserve">Annual total (with public service obligations &amp; taxes and surcharges </t>
    </r>
    <r>
      <rPr>
        <b/>
        <sz val="12"/>
        <color rgb="FFFF0000"/>
        <rFont val="Arial"/>
        <family val="2"/>
      </rPr>
      <t>including</t>
    </r>
    <r>
      <rPr>
        <b/>
        <sz val="12"/>
        <color theme="1"/>
        <rFont val="Arial"/>
        <family val="2"/>
      </rPr>
      <t xml:space="preserve"> first-component exemption and second-component billing for renewable energy support measures (Wallonia)):</t>
    </r>
  </si>
  <si>
    <t>Brussels</t>
  </si>
  <si>
    <t>Principal</t>
  </si>
  <si>
    <t>Tariffs are applicable from the 1st of January 2022 to the 31st of December 2022.</t>
  </si>
  <si>
    <r>
      <t>f.1.) Occupying public domain</t>
    </r>
    <r>
      <rPr>
        <b/>
        <sz val="10"/>
        <color indexed="10"/>
        <rFont val="Arial"/>
        <family val="2"/>
      </rPr>
      <t xml:space="preserve"> in Walloon Region</t>
    </r>
  </si>
  <si>
    <r>
      <t xml:space="preserve">f.2.) Occupying road network </t>
    </r>
    <r>
      <rPr>
        <b/>
        <sz val="10"/>
        <color indexed="10"/>
        <rFont val="Arial"/>
        <family val="2"/>
      </rPr>
      <t>in Brussels Region</t>
    </r>
  </si>
  <si>
    <r>
      <t>f.3.) Levie for the taxes "pylons" et "trenches"</t>
    </r>
    <r>
      <rPr>
        <b/>
        <sz val="10"/>
        <color indexed="10"/>
        <rFont val="Arial"/>
        <family val="2"/>
      </rPr>
      <t xml:space="preserve"> in Flemish region</t>
    </r>
  </si>
  <si>
    <r>
      <t>e.1.) Financing the support measures for renewable energy</t>
    </r>
    <r>
      <rPr>
        <b/>
        <sz val="10"/>
        <color indexed="10"/>
        <rFont val="Arial"/>
        <family val="2"/>
      </rPr>
      <t xml:space="preserve">  in Flemish Region</t>
    </r>
  </si>
  <si>
    <r>
      <t xml:space="preserve">e.2.) Financing measures for promotion of rational use of energy </t>
    </r>
    <r>
      <rPr>
        <b/>
        <sz val="10"/>
        <color indexed="10"/>
        <rFont val="Arial"/>
        <family val="2"/>
      </rPr>
      <t xml:space="preserve"> in Flemish Region</t>
    </r>
  </si>
  <si>
    <r>
      <t>e.3.) Financing the support measures for renewable energy</t>
    </r>
    <r>
      <rPr>
        <b/>
        <sz val="10"/>
        <color indexed="10"/>
        <rFont val="Arial"/>
        <family val="2"/>
      </rPr>
      <t xml:space="preserve"> in Walloon Region</t>
    </r>
  </si>
  <si>
    <t>e.3.a.) First term</t>
  </si>
  <si>
    <t>e.3.b.) Exemption of the first component</t>
  </si>
  <si>
    <t>e.3.c.) Second component</t>
  </si>
  <si>
    <r>
      <t xml:space="preserve">1. Tariffs for financing the support measures for renewable energy </t>
    </r>
    <r>
      <rPr>
        <sz val="12"/>
        <color indexed="10"/>
        <rFont val="Arial"/>
        <family val="2"/>
      </rPr>
      <t xml:space="preserve"> in Flemish Region</t>
    </r>
  </si>
  <si>
    <r>
      <t xml:space="preserve">2. Tariffs for Financing measures for promotion of rational use of energy </t>
    </r>
    <r>
      <rPr>
        <sz val="12"/>
        <color indexed="10"/>
        <rFont val="Arial"/>
        <family val="2"/>
      </rPr>
      <t xml:space="preserve"> in Flemish Region</t>
    </r>
  </si>
  <si>
    <r>
      <t>3. Tariffs  for financing the support measures for renewable energy</t>
    </r>
    <r>
      <rPr>
        <sz val="12"/>
        <color indexed="10"/>
        <rFont val="Arial"/>
        <family val="2"/>
      </rPr>
      <t xml:space="preserve"> in Walloon Region</t>
    </r>
  </si>
  <si>
    <r>
      <t>1. Occupying public domain</t>
    </r>
    <r>
      <rPr>
        <sz val="12"/>
        <color indexed="10"/>
        <rFont val="Arial"/>
        <family val="2"/>
      </rPr>
      <t xml:space="preserve"> in Walloon Region</t>
    </r>
  </si>
  <si>
    <r>
      <t>2. Occupying road network</t>
    </r>
    <r>
      <rPr>
        <sz val="12"/>
        <color indexed="10"/>
        <rFont val="Arial"/>
        <family val="2"/>
      </rPr>
      <t xml:space="preserve"> in Brussels Region</t>
    </r>
  </si>
  <si>
    <r>
      <t xml:space="preserve">3. Levie for the taxes "pylons" et "trenches" </t>
    </r>
    <r>
      <rPr>
        <sz val="12"/>
        <color indexed="10"/>
        <rFont val="Arial"/>
        <family val="2"/>
      </rPr>
      <t>in Flemish region</t>
    </r>
  </si>
  <si>
    <r>
      <t xml:space="preserve">2. Tariffs for financing measures for promotion of rational use of energy </t>
    </r>
    <r>
      <rPr>
        <sz val="12"/>
        <color indexed="10"/>
        <rFont val="Arial"/>
        <family val="2"/>
      </rPr>
      <t xml:space="preserve"> in Flemish Region</t>
    </r>
  </si>
  <si>
    <r>
      <t xml:space="preserve">3. Tariffs  for financing the support measures for renewable energy </t>
    </r>
    <r>
      <rPr>
        <sz val="12"/>
        <color indexed="10"/>
        <rFont val="Arial"/>
        <family val="2"/>
      </rPr>
      <t>in Walloon Region</t>
    </r>
  </si>
  <si>
    <t>6. Data concerning the public service obligations and surcharges</t>
  </si>
  <si>
    <t>A
(year 2021)</t>
  </si>
  <si>
    <t>B
(year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</si>
</sst>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00"/>
    <numFmt numFmtId="165" formatCode="0.0000"/>
    <numFmt numFmtId="166" formatCode="0.000"/>
    <numFmt numFmtId="167" formatCode="#,##0.000"/>
  </numFmts>
  <fonts count="4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0"/>
      <color rgb="FFFF0000"/>
      <name val="Arial"/>
      <family val="2"/>
    </font>
    <font>
      <b/>
      <u/>
      <sz val="12"/>
      <color theme="9" tint="-0.249977111117893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indexed="10"/>
      <name val="Arial"/>
      <family val="2"/>
    </font>
    <font>
      <b/>
      <i/>
      <sz val="10"/>
      <color rgb="FF009644"/>
      <name val="Arial"/>
      <family val="2"/>
    </font>
    <font>
      <b/>
      <sz val="12"/>
      <color rgb="FFFF0000"/>
      <name val="Arial"/>
      <family val="2"/>
    </font>
    <font>
      <b/>
      <i/>
      <sz val="10"/>
      <color rgb="FF0000FF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" fillId="0" borderId="0"/>
    <xf numFmtId="0" fontId="36" fillId="0" borderId="0"/>
    <xf numFmtId="0" fontId="35" fillId="0" borderId="0"/>
    <xf numFmtId="0" fontId="3" fillId="23" borderId="7" applyNumberFormat="0" applyFont="0" applyAlignment="0" applyProtection="0"/>
    <xf numFmtId="0" fontId="35" fillId="42" borderId="39" applyNumberFormat="0" applyFont="0" applyAlignment="0" applyProtection="0"/>
    <xf numFmtId="0" fontId="16" fillId="20" borderId="8" applyNumberFormat="0" applyAlignment="0" applyProtection="0"/>
    <xf numFmtId="0" fontId="37" fillId="41" borderId="40" applyNumberFormat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7" fillId="22" borderId="9" applyNumberFormat="0" applyProtection="0">
      <alignment vertical="center"/>
    </xf>
    <xf numFmtId="4" fontId="18" fillId="24" borderId="9" applyNumberFormat="0" applyProtection="0">
      <alignment vertical="center"/>
    </xf>
    <xf numFmtId="4" fontId="17" fillId="24" borderId="9" applyNumberFormat="0" applyProtection="0">
      <alignment horizontal="left" vertical="center" indent="1"/>
    </xf>
    <xf numFmtId="0" fontId="17" fillId="24" borderId="9" applyNumberFormat="0" applyProtection="0">
      <alignment horizontal="left" vertical="top" indent="1"/>
    </xf>
    <xf numFmtId="4" fontId="17" fillId="25" borderId="0" applyNumberFormat="0" applyProtection="0">
      <alignment horizontal="left" vertical="center" indent="1"/>
    </xf>
    <xf numFmtId="4" fontId="19" fillId="3" borderId="9" applyNumberFormat="0" applyProtection="0">
      <alignment horizontal="right" vertical="center"/>
    </xf>
    <xf numFmtId="4" fontId="19" fillId="9" borderId="9" applyNumberFormat="0" applyProtection="0">
      <alignment horizontal="right" vertical="center"/>
    </xf>
    <xf numFmtId="4" fontId="19" fillId="17" borderId="9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19" borderId="9" applyNumberFormat="0" applyProtection="0">
      <alignment horizontal="right" vertical="center"/>
    </xf>
    <xf numFmtId="4" fontId="19" fillId="18" borderId="9" applyNumberFormat="0" applyProtection="0">
      <alignment horizontal="right" vertical="center"/>
    </xf>
    <xf numFmtId="4" fontId="19" fillId="26" borderId="9" applyNumberFormat="0" applyProtection="0">
      <alignment horizontal="right" vertical="center"/>
    </xf>
    <xf numFmtId="4" fontId="19" fillId="10" borderId="9" applyNumberFormat="0" applyProtection="0">
      <alignment horizontal="right" vertical="center"/>
    </xf>
    <xf numFmtId="4" fontId="17" fillId="27" borderId="10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20" fillId="29" borderId="0" applyNumberFormat="0" applyProtection="0">
      <alignment horizontal="left" vertical="center" indent="1"/>
    </xf>
    <xf numFmtId="4" fontId="19" fillId="30" borderId="9" applyNumberFormat="0" applyProtection="0">
      <alignment horizontal="right" vertical="center"/>
    </xf>
    <xf numFmtId="4" fontId="19" fillId="28" borderId="0" applyNumberFormat="0" applyProtection="0">
      <alignment horizontal="left" vertical="center" indent="1"/>
    </xf>
    <xf numFmtId="4" fontId="19" fillId="28" borderId="0" applyNumberFormat="0" applyProtection="0">
      <alignment horizontal="left" vertical="center" indent="1"/>
    </xf>
    <xf numFmtId="4" fontId="19" fillId="25" borderId="0" applyNumberFormat="0" applyProtection="0">
      <alignment horizontal="left" vertical="center" indent="1"/>
    </xf>
    <xf numFmtId="4" fontId="19" fillId="25" borderId="0" applyNumberFormat="0" applyProtection="0">
      <alignment horizontal="left" vertical="center" indent="1"/>
    </xf>
    <xf numFmtId="0" fontId="1" fillId="29" borderId="9" applyNumberFormat="0" applyProtection="0">
      <alignment horizontal="left" vertical="center" indent="1"/>
    </xf>
    <xf numFmtId="0" fontId="1" fillId="29" borderId="9" applyNumberFormat="0" applyProtection="0">
      <alignment horizontal="left" vertical="top" indent="1"/>
    </xf>
    <xf numFmtId="0" fontId="1" fillId="25" borderId="9" applyNumberFormat="0" applyProtection="0">
      <alignment horizontal="left" vertical="center" indent="1"/>
    </xf>
    <xf numFmtId="0" fontId="1" fillId="25" borderId="9" applyNumberFormat="0" applyProtection="0">
      <alignment horizontal="left" vertical="top" indent="1"/>
    </xf>
    <xf numFmtId="0" fontId="1" fillId="31" borderId="9" applyNumberFormat="0" applyProtection="0">
      <alignment horizontal="left" vertical="center" indent="1"/>
    </xf>
    <xf numFmtId="0" fontId="1" fillId="31" borderId="9" applyNumberFormat="0" applyProtection="0">
      <alignment horizontal="left" vertical="top" indent="1"/>
    </xf>
    <xf numFmtId="0" fontId="1" fillId="32" borderId="9" applyNumberFormat="0" applyProtection="0">
      <alignment horizontal="left" vertical="center" indent="1"/>
    </xf>
    <xf numFmtId="0" fontId="1" fillId="32" borderId="9" applyNumberFormat="0" applyProtection="0">
      <alignment horizontal="left" vertical="top" indent="1"/>
    </xf>
    <xf numFmtId="4" fontId="19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19" fillId="33" borderId="9" applyNumberFormat="0" applyProtection="0">
      <alignment horizontal="left" vertical="center" indent="1"/>
    </xf>
    <xf numFmtId="0" fontId="19" fillId="33" borderId="9" applyNumberFormat="0" applyProtection="0">
      <alignment horizontal="left" vertical="top" indent="1"/>
    </xf>
    <xf numFmtId="4" fontId="19" fillId="28" borderId="9" applyNumberFormat="0" applyProtection="0">
      <alignment horizontal="right" vertical="center"/>
    </xf>
    <xf numFmtId="4" fontId="21" fillId="28" borderId="9" applyNumberFormat="0" applyProtection="0">
      <alignment horizontal="right" vertical="center"/>
    </xf>
    <xf numFmtId="4" fontId="19" fillId="0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top" indent="1"/>
    </xf>
    <xf numFmtId="4" fontId="22" fillId="34" borderId="0" applyNumberFormat="0" applyProtection="0">
      <alignment horizontal="left" vertical="center" indent="1"/>
    </xf>
    <xf numFmtId="4" fontId="23" fillId="28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175">
    <xf numFmtId="0" fontId="0" fillId="0" borderId="0" xfId="0"/>
    <xf numFmtId="164" fontId="38" fillId="0" borderId="0" xfId="0" applyNumberFormat="1" applyFont="1"/>
    <xf numFmtId="0" fontId="39" fillId="0" borderId="0" xfId="0" applyFont="1"/>
    <xf numFmtId="0" fontId="2" fillId="35" borderId="12" xfId="0" applyFont="1" applyFill="1" applyBorder="1" applyAlignment="1">
      <alignment horizontal="center"/>
    </xf>
    <xf numFmtId="165" fontId="2" fillId="36" borderId="12" xfId="0" applyNumberFormat="1" applyFont="1" applyFill="1" applyBorder="1" applyAlignment="1">
      <alignment horizontal="center"/>
    </xf>
    <xf numFmtId="165" fontId="2" fillId="36" borderId="13" xfId="0" applyNumberFormat="1" applyFont="1" applyFill="1" applyBorder="1" applyAlignment="1">
      <alignment horizontal="center"/>
    </xf>
    <xf numFmtId="165" fontId="2" fillId="36" borderId="1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165" fontId="2" fillId="36" borderId="15" xfId="0" applyNumberFormat="1" applyFont="1" applyFill="1" applyBorder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0" fontId="28" fillId="36" borderId="16" xfId="0" applyFont="1" applyFill="1" applyBorder="1" applyAlignment="1">
      <alignment horizontal="right"/>
    </xf>
    <xf numFmtId="0" fontId="28" fillId="36" borderId="17" xfId="0" applyFont="1" applyFill="1" applyBorder="1" applyAlignment="1">
      <alignment horizontal="right"/>
    </xf>
    <xf numFmtId="0" fontId="2" fillId="36" borderId="18" xfId="0" applyFont="1" applyFill="1" applyBorder="1" applyProtection="1"/>
    <xf numFmtId="0" fontId="2" fillId="36" borderId="19" xfId="0" applyFont="1" applyFill="1" applyBorder="1" applyProtection="1">
      <protection hidden="1"/>
    </xf>
    <xf numFmtId="0" fontId="2" fillId="36" borderId="20" xfId="0" applyFont="1" applyFill="1" applyBorder="1" applyProtection="1">
      <protection hidden="1"/>
    </xf>
    <xf numFmtId="0" fontId="29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43" borderId="0" xfId="0" applyFont="1" applyFill="1"/>
    <xf numFmtId="0" fontId="30" fillId="0" borderId="0" xfId="0" applyFont="1" applyFill="1"/>
    <xf numFmtId="0" fontId="2" fillId="35" borderId="15" xfId="0" applyFont="1" applyFill="1" applyBorder="1"/>
    <xf numFmtId="166" fontId="2" fillId="37" borderId="15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7" fillId="36" borderId="16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2" fillId="36" borderId="18" xfId="0" applyFont="1" applyFill="1" applyBorder="1"/>
    <xf numFmtId="0" fontId="2" fillId="36" borderId="23" xfId="0" applyFont="1" applyFill="1" applyBorder="1" applyProtection="1">
      <protection hidden="1"/>
    </xf>
    <xf numFmtId="0" fontId="2" fillId="36" borderId="23" xfId="0" applyFont="1" applyFill="1" applyBorder="1" applyAlignment="1">
      <alignment horizontal="center"/>
    </xf>
    <xf numFmtId="0" fontId="2" fillId="36" borderId="23" xfId="0" applyFont="1" applyFill="1" applyBorder="1"/>
    <xf numFmtId="0" fontId="2" fillId="36" borderId="19" xfId="0" applyFont="1" applyFill="1" applyBorder="1"/>
    <xf numFmtId="0" fontId="2" fillId="36" borderId="16" xfId="0" applyFont="1" applyFill="1" applyBorder="1"/>
    <xf numFmtId="0" fontId="2" fillId="36" borderId="0" xfId="0" applyFont="1" applyFill="1" applyBorder="1" applyProtection="1">
      <protection hidden="1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Border="1"/>
    <xf numFmtId="0" fontId="2" fillId="36" borderId="20" xfId="0" applyFont="1" applyFill="1" applyBorder="1"/>
    <xf numFmtId="0" fontId="2" fillId="36" borderId="24" xfId="0" applyFont="1" applyFill="1" applyBorder="1" applyAlignment="1" applyProtection="1">
      <alignment horizontal="left"/>
      <protection hidden="1"/>
    </xf>
    <xf numFmtId="0" fontId="31" fillId="0" borderId="0" xfId="0" applyFont="1"/>
    <xf numFmtId="0" fontId="2" fillId="36" borderId="15" xfId="0" applyFont="1" applyFill="1" applyBorder="1" applyAlignment="1">
      <alignment horizontal="right" wrapText="1"/>
    </xf>
    <xf numFmtId="167" fontId="2" fillId="35" borderId="25" xfId="0" applyNumberFormat="1" applyFont="1" applyFill="1" applyBorder="1"/>
    <xf numFmtId="165" fontId="2" fillId="35" borderId="21" xfId="0" applyNumberFormat="1" applyFont="1" applyFill="1" applyBorder="1"/>
    <xf numFmtId="4" fontId="2" fillId="35" borderId="21" xfId="0" quotePrefix="1" applyNumberFormat="1" applyFont="1" applyFill="1" applyBorder="1" applyAlignment="1">
      <alignment horizontal="right"/>
    </xf>
    <xf numFmtId="166" fontId="2" fillId="0" borderId="0" xfId="0" applyNumberFormat="1" applyFont="1"/>
    <xf numFmtId="165" fontId="2" fillId="0" borderId="0" xfId="0" applyNumberFormat="1" applyFont="1"/>
    <xf numFmtId="167" fontId="2" fillId="36" borderId="25" xfId="0" applyNumberFormat="1" applyFont="1" applyFill="1" applyBorder="1"/>
    <xf numFmtId="0" fontId="2" fillId="36" borderId="21" xfId="0" applyFont="1" applyFill="1" applyBorder="1" applyAlignment="1">
      <alignment horizontal="center"/>
    </xf>
    <xf numFmtId="165" fontId="2" fillId="36" borderId="21" xfId="0" applyNumberFormat="1" applyFont="1" applyFill="1" applyBorder="1"/>
    <xf numFmtId="4" fontId="2" fillId="36" borderId="21" xfId="0" quotePrefix="1" applyNumberFormat="1" applyFont="1" applyFill="1" applyBorder="1" applyAlignment="1">
      <alignment horizontal="right"/>
    </xf>
    <xf numFmtId="0" fontId="2" fillId="36" borderId="22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right"/>
    </xf>
    <xf numFmtId="4" fontId="2" fillId="38" borderId="26" xfId="0" applyNumberFormat="1" applyFont="1" applyFill="1" applyBorder="1"/>
    <xf numFmtId="0" fontId="2" fillId="38" borderId="27" xfId="0" applyFont="1" applyFill="1" applyBorder="1" applyAlignment="1">
      <alignment horizontal="center"/>
    </xf>
    <xf numFmtId="166" fontId="2" fillId="36" borderId="15" xfId="0" applyNumberFormat="1" applyFont="1" applyFill="1" applyBorder="1" applyAlignment="1">
      <alignment horizontal="right" wrapText="1"/>
    </xf>
    <xf numFmtId="4" fontId="2" fillId="36" borderId="15" xfId="0" applyNumberFormat="1" applyFont="1" applyFill="1" applyBorder="1" applyAlignment="1">
      <alignment horizontal="right"/>
    </xf>
    <xf numFmtId="0" fontId="2" fillId="0" borderId="15" xfId="0" applyFont="1" applyBorder="1"/>
    <xf numFmtId="4" fontId="2" fillId="39" borderId="26" xfId="0" applyNumberFormat="1" applyFont="1" applyFill="1" applyBorder="1"/>
    <xf numFmtId="0" fontId="2" fillId="39" borderId="27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166" fontId="2" fillId="36" borderId="15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165" fontId="2" fillId="36" borderId="15" xfId="0" applyNumberFormat="1" applyFont="1" applyFill="1" applyBorder="1" applyAlignment="1">
      <alignment horizontal="right" wrapText="1"/>
    </xf>
    <xf numFmtId="4" fontId="2" fillId="36" borderId="15" xfId="0" applyNumberFormat="1" applyFont="1" applyFill="1" applyBorder="1" applyAlignment="1">
      <alignment horizontal="right" wrapText="1"/>
    </xf>
    <xf numFmtId="9" fontId="2" fillId="35" borderId="15" xfId="58" quotePrefix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2" fillId="39" borderId="26" xfId="0" applyNumberFormat="1" applyFont="1" applyFill="1" applyBorder="1" applyAlignment="1"/>
    <xf numFmtId="0" fontId="2" fillId="0" borderId="0" xfId="0" applyFont="1" applyFill="1" applyAlignment="1">
      <alignment horizontal="right"/>
    </xf>
    <xf numFmtId="0" fontId="2" fillId="40" borderId="0" xfId="0" applyFont="1" applyFill="1"/>
    <xf numFmtId="0" fontId="2" fillId="40" borderId="0" xfId="0" applyFont="1" applyFill="1" applyAlignment="1">
      <alignment horizontal="center"/>
    </xf>
    <xf numFmtId="4" fontId="2" fillId="40" borderId="0" xfId="0" applyNumberFormat="1" applyFont="1" applyFill="1"/>
    <xf numFmtId="4" fontId="29" fillId="35" borderId="26" xfId="0" applyNumberFormat="1" applyFont="1" applyFill="1" applyBorder="1"/>
    <xf numFmtId="0" fontId="29" fillId="35" borderId="27" xfId="0" applyFont="1" applyFill="1" applyBorder="1" applyAlignment="1">
      <alignment horizontal="center"/>
    </xf>
    <xf numFmtId="0" fontId="28" fillId="36" borderId="0" xfId="0" applyFont="1" applyFill="1" applyBorder="1" applyAlignment="1">
      <alignment horizontal="right"/>
    </xf>
    <xf numFmtId="0" fontId="28" fillId="36" borderId="23" xfId="0" applyFont="1" applyFill="1" applyBorder="1" applyAlignment="1">
      <alignment horizontal="right"/>
    </xf>
    <xf numFmtId="166" fontId="2" fillId="39" borderId="28" xfId="0" applyNumberFormat="1" applyFont="1" applyFill="1" applyBorder="1" applyAlignment="1" applyProtection="1">
      <alignment horizontal="center"/>
    </xf>
    <xf numFmtId="0" fontId="2" fillId="35" borderId="15" xfId="0" applyFont="1" applyFill="1" applyBorder="1" applyAlignment="1">
      <alignment horizontal="center" wrapText="1"/>
    </xf>
    <xf numFmtId="0" fontId="40" fillId="0" borderId="0" xfId="0" applyFont="1"/>
    <xf numFmtId="0" fontId="32" fillId="0" borderId="0" xfId="0" applyFont="1"/>
    <xf numFmtId="164" fontId="0" fillId="0" borderId="0" xfId="0" applyNumberFormat="1" applyFont="1"/>
    <xf numFmtId="0" fontId="3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7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0" fillId="0" borderId="0" xfId="0" quotePrefix="1" applyFont="1" applyFill="1"/>
    <xf numFmtId="4" fontId="2" fillId="36" borderId="37" xfId="0" applyNumberFormat="1" applyFont="1" applyFill="1" applyBorder="1" applyAlignment="1">
      <alignment horizontal="right"/>
    </xf>
    <xf numFmtId="9" fontId="2" fillId="39" borderId="15" xfId="57" applyFont="1" applyFill="1" applyBorder="1"/>
    <xf numFmtId="0" fontId="0" fillId="0" borderId="0" xfId="0" applyFont="1" applyFill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/>
    </xf>
    <xf numFmtId="0" fontId="2" fillId="44" borderId="18" xfId="0" applyFont="1" applyFill="1" applyBorder="1"/>
    <xf numFmtId="0" fontId="2" fillId="44" borderId="23" xfId="0" applyFont="1" applyFill="1" applyBorder="1" applyAlignment="1" applyProtection="1">
      <alignment horizontal="right"/>
      <protection hidden="1"/>
    </xf>
    <xf numFmtId="0" fontId="2" fillId="44" borderId="23" xfId="0" applyFont="1" applyFill="1" applyBorder="1" applyAlignment="1" applyProtection="1">
      <alignment horizontal="left"/>
      <protection hidden="1"/>
    </xf>
    <xf numFmtId="0" fontId="2" fillId="44" borderId="23" xfId="0" applyFont="1" applyFill="1" applyBorder="1" applyAlignment="1">
      <alignment horizontal="center"/>
    </xf>
    <xf numFmtId="0" fontId="2" fillId="44" borderId="23" xfId="0" applyFont="1" applyFill="1" applyBorder="1"/>
    <xf numFmtId="0" fontId="2" fillId="44" borderId="19" xfId="0" applyFont="1" applyFill="1" applyBorder="1"/>
    <xf numFmtId="0" fontId="2" fillId="44" borderId="17" xfId="0" applyFont="1" applyFill="1" applyBorder="1"/>
    <xf numFmtId="0" fontId="2" fillId="44" borderId="24" xfId="0" applyFont="1" applyFill="1" applyBorder="1" applyAlignment="1" applyProtection="1">
      <alignment horizontal="right"/>
      <protection hidden="1"/>
    </xf>
    <xf numFmtId="0" fontId="2" fillId="44" borderId="24" xfId="0" applyFont="1" applyFill="1" applyBorder="1" applyAlignment="1" applyProtection="1">
      <alignment horizontal="left"/>
      <protection hidden="1"/>
    </xf>
    <xf numFmtId="0" fontId="2" fillId="44" borderId="24" xfId="0" applyFont="1" applyFill="1" applyBorder="1" applyAlignment="1">
      <alignment horizontal="center"/>
    </xf>
    <xf numFmtId="0" fontId="2" fillId="44" borderId="24" xfId="0" applyFont="1" applyFill="1" applyBorder="1"/>
    <xf numFmtId="0" fontId="2" fillId="44" borderId="38" xfId="0" applyFont="1" applyFill="1" applyBorder="1"/>
    <xf numFmtId="0" fontId="2" fillId="36" borderId="20" xfId="0" applyFont="1" applyFill="1" applyBorder="1" applyAlignment="1" applyProtection="1">
      <alignment horizontal="left"/>
      <protection hidden="1"/>
    </xf>
    <xf numFmtId="0" fontId="2" fillId="36" borderId="38" xfId="0" applyFont="1" applyFill="1" applyBorder="1" applyAlignment="1" applyProtection="1">
      <alignment horizontal="left"/>
      <protection hidden="1"/>
    </xf>
    <xf numFmtId="0" fontId="2" fillId="36" borderId="17" xfId="0" applyFont="1" applyFill="1" applyBorder="1"/>
    <xf numFmtId="0" fontId="28" fillId="36" borderId="24" xfId="0" applyFont="1" applyFill="1" applyBorder="1" applyAlignment="1">
      <alignment horizontal="right"/>
    </xf>
    <xf numFmtId="0" fontId="2" fillId="36" borderId="24" xfId="0" applyFont="1" applyFill="1" applyBorder="1" applyAlignment="1">
      <alignment horizontal="center"/>
    </xf>
    <xf numFmtId="0" fontId="2" fillId="36" borderId="24" xfId="0" applyFont="1" applyFill="1" applyBorder="1"/>
    <xf numFmtId="0" fontId="2" fillId="36" borderId="38" xfId="0" applyFont="1" applyFill="1" applyBorder="1"/>
    <xf numFmtId="0" fontId="41" fillId="0" borderId="0" xfId="0" applyFont="1" applyBorder="1" applyAlignment="1"/>
    <xf numFmtId="1" fontId="2" fillId="39" borderId="28" xfId="0" applyNumberFormat="1" applyFont="1" applyFill="1" applyBorder="1" applyAlignment="1" applyProtection="1">
      <alignment horizontal="center"/>
    </xf>
    <xf numFmtId="167" fontId="2" fillId="39" borderId="28" xfId="0" applyNumberFormat="1" applyFont="1" applyFill="1" applyBorder="1" applyAlignment="1" applyProtection="1">
      <alignment horizontal="center"/>
    </xf>
    <xf numFmtId="167" fontId="2" fillId="37" borderId="15" xfId="0" applyNumberFormat="1" applyFont="1" applyFill="1" applyBorder="1" applyAlignment="1" applyProtection="1">
      <alignment horizontal="center"/>
      <protection locked="0"/>
    </xf>
    <xf numFmtId="167" fontId="2" fillId="39" borderId="15" xfId="0" applyNumberFormat="1" applyFont="1" applyFill="1" applyBorder="1" applyAlignment="1">
      <alignment horizontal="center"/>
    </xf>
    <xf numFmtId="0" fontId="28" fillId="0" borderId="0" xfId="0" applyFont="1"/>
    <xf numFmtId="0" fontId="34" fillId="0" borderId="0" xfId="0" applyFont="1" applyAlignment="1">
      <alignment horizontal="left"/>
    </xf>
    <xf numFmtId="165" fontId="2" fillId="36" borderId="15" xfId="0" applyNumberFormat="1" applyFont="1" applyFill="1" applyBorder="1" applyAlignment="1">
      <alignment horizontal="right"/>
    </xf>
    <xf numFmtId="0" fontId="2" fillId="0" borderId="0" xfId="0" applyFont="1" applyBorder="1"/>
    <xf numFmtId="9" fontId="2" fillId="37" borderId="15" xfId="57" applyFont="1" applyFill="1" applyBorder="1" applyAlignment="1" applyProtection="1">
      <alignment horizontal="center"/>
      <protection locked="0"/>
    </xf>
    <xf numFmtId="0" fontId="42" fillId="0" borderId="0" xfId="0" applyFont="1"/>
    <xf numFmtId="0" fontId="43" fillId="0" borderId="0" xfId="0" applyFont="1" applyFill="1"/>
    <xf numFmtId="4" fontId="2" fillId="45" borderId="26" xfId="0" applyNumberFormat="1" applyFont="1" applyFill="1" applyBorder="1"/>
    <xf numFmtId="0" fontId="2" fillId="45" borderId="27" xfId="0" applyFont="1" applyFill="1" applyBorder="1" applyAlignment="1">
      <alignment horizontal="center"/>
    </xf>
    <xf numFmtId="4" fontId="29" fillId="43" borderId="26" xfId="0" applyNumberFormat="1" applyFont="1" applyFill="1" applyBorder="1"/>
    <xf numFmtId="0" fontId="29" fillId="43" borderId="27" xfId="0" applyFont="1" applyFill="1" applyBorder="1" applyAlignment="1">
      <alignment horizontal="center"/>
    </xf>
    <xf numFmtId="0" fontId="2" fillId="46" borderId="15" xfId="0" applyFont="1" applyFill="1" applyBorder="1" applyAlignment="1" applyProtection="1">
      <alignment horizontal="left"/>
      <protection locked="0"/>
    </xf>
    <xf numFmtId="0" fontId="40" fillId="40" borderId="0" xfId="0" applyFont="1" applyFill="1"/>
    <xf numFmtId="0" fontId="40" fillId="0" borderId="0" xfId="0" applyFont="1" applyAlignment="1">
      <alignment wrapText="1"/>
    </xf>
    <xf numFmtId="0" fontId="40" fillId="0" borderId="24" xfId="0" applyFont="1" applyBorder="1"/>
    <xf numFmtId="0" fontId="40" fillId="0" borderId="0" xfId="0" applyFont="1" applyFill="1"/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2" fillId="46" borderId="25" xfId="0" applyFont="1" applyFill="1" applyBorder="1" applyAlignment="1" applyProtection="1">
      <alignment horizontal="left"/>
      <protection locked="0"/>
    </xf>
    <xf numFmtId="0" fontId="2" fillId="46" borderId="21" xfId="0" applyFont="1" applyFill="1" applyBorder="1" applyAlignment="1" applyProtection="1">
      <alignment horizontal="left"/>
      <protection locked="0"/>
    </xf>
    <xf numFmtId="0" fontId="2" fillId="46" borderId="22" xfId="0" applyFont="1" applyFill="1" applyBorder="1" applyAlignment="1" applyProtection="1">
      <alignment horizontal="left"/>
      <protection locked="0"/>
    </xf>
    <xf numFmtId="0" fontId="41" fillId="0" borderId="0" xfId="0" applyFont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 wrapText="1"/>
    </xf>
    <xf numFmtId="0" fontId="29" fillId="0" borderId="33" xfId="0" applyFont="1" applyFill="1" applyBorder="1" applyAlignment="1">
      <alignment horizontal="right" wrapText="1"/>
    </xf>
    <xf numFmtId="0" fontId="40" fillId="0" borderId="0" xfId="0" applyFont="1" applyFill="1" applyAlignment="1">
      <alignment horizontal="right" wrapText="1"/>
    </xf>
    <xf numFmtId="0" fontId="40" fillId="0" borderId="33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9" fillId="0" borderId="0" xfId="0" applyFont="1" applyAlignment="1">
      <alignment horizontal="right" wrapText="1"/>
    </xf>
    <xf numFmtId="0" fontId="29" fillId="0" borderId="33" xfId="0" applyFont="1" applyBorder="1" applyAlignment="1">
      <alignment horizontal="right" wrapText="1"/>
    </xf>
    <xf numFmtId="0" fontId="32" fillId="0" borderId="34" xfId="0" applyFont="1" applyBorder="1" applyAlignment="1">
      <alignment horizontal="left" vertical="center"/>
    </xf>
    <xf numFmtId="0" fontId="32" fillId="0" borderId="35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</cellXfs>
  <cellStyles count="10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uro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2 2" xfId="40"/>
    <cellStyle name="Normal 2 3" xfId="41"/>
    <cellStyle name="Normal 2 4" xfId="42"/>
    <cellStyle name="Normal 3" xfId="43"/>
    <cellStyle name="Normal 4" xfId="44"/>
    <cellStyle name="Normal 4 2" xfId="45"/>
    <cellStyle name="Normal 4 3" xfId="46"/>
    <cellStyle name="Normal 4 4" xfId="47"/>
    <cellStyle name="Normal 5" xfId="48"/>
    <cellStyle name="Normal 6" xfId="49"/>
    <cellStyle name="Normal 7" xfId="50"/>
    <cellStyle name="Normal 8" xfId="51"/>
    <cellStyle name="Normal 9" xfId="52"/>
    <cellStyle name="Note 2" xfId="53"/>
    <cellStyle name="Note 2 2" xfId="54"/>
    <cellStyle name="Output 2" xfId="55"/>
    <cellStyle name="Output 3" xfId="56"/>
    <cellStyle name="Percent" xfId="57" builtinId="5"/>
    <cellStyle name="Percent 2" xfId="5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Item 2" xfId="78"/>
    <cellStyle name="SAPBEXheaderText" xfId="79"/>
    <cellStyle name="SAPBEXheaderText 2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 2" xfId="99"/>
    <cellStyle name="Total 2" xfId="100"/>
    <cellStyle name="Warning Text 2" xfId="101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47625</xdr:rowOff>
    </xdr:from>
    <xdr:to>
      <xdr:col>3</xdr:col>
      <xdr:colOff>1638300</xdr:colOff>
      <xdr:row>4</xdr:row>
      <xdr:rowOff>38100</xdr:rowOff>
    </xdr:to>
    <xdr:pic>
      <xdr:nvPicPr>
        <xdr:cNvPr id="3" name="Picture 1" descr="PKGF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64" b="37671"/>
        <a:stretch>
          <a:fillRect/>
        </a:stretch>
      </xdr:blipFill>
      <xdr:spPr bwMode="auto">
        <a:xfrm>
          <a:off x="476250" y="447675"/>
          <a:ext cx="18002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1</xdr:row>
      <xdr:rowOff>28575</xdr:rowOff>
    </xdr:from>
    <xdr:to>
      <xdr:col>11</xdr:col>
      <xdr:colOff>19050</xdr:colOff>
      <xdr:row>4</xdr:row>
      <xdr:rowOff>95250</xdr:rowOff>
    </xdr:to>
    <xdr:pic>
      <xdr:nvPicPr>
        <xdr:cNvPr id="4344" name="Picture 10" descr="PKGF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864" b="37671"/>
        <a:stretch>
          <a:fillRect/>
        </a:stretch>
      </xdr:blipFill>
      <xdr:spPr bwMode="auto">
        <a:xfrm>
          <a:off x="6438900" y="190500"/>
          <a:ext cx="2686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55</xdr:row>
          <xdr:rowOff>57150</xdr:rowOff>
        </xdr:from>
        <xdr:to>
          <xdr:col>7</xdr:col>
          <xdr:colOff>914400</xdr:colOff>
          <xdr:row>57</xdr:row>
          <xdr:rowOff>66675</xdr:rowOff>
        </xdr:to>
        <xdr:sp macro="" textlink="">
          <xdr:nvSpPr>
            <xdr:cNvPr id="4190" name="cmd_Calcul_Energy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Laboratoire_Modules\Christian\Facture_Acc&#232;s_2003\Acc&#232;s%2520R&#233;seau%25202003%2520-%2520Proposition%2520Och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Laboratoire_Modules\Christian\Facture_Acc&#232;s_2003\Module_Facturation_Acc&#232;s-2003_V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4%2520Back%2520Office\02-InOperation\Cross-check%2520Ventes\01-Cross-check%2520Files\2011\2011-09_Run20111019\01%2520CLIDIR\Module_A_ElemFact_CLIDIR_V29_2011-0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Laboratoire_Modules\Christian\Facture_Acc&#232;s_2003\Module_Facturation_Acc&#232;s-2003_V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Base"/>
      <sheetName val="Invoice Regularization"/>
      <sheetName val="AnnA - SUB_IS"/>
      <sheetName val="Ann1 - SS_IS"/>
      <sheetName val="Ann2 - LC_IS"/>
      <sheetName val="Ann3 - AP_IS"/>
      <sheetName val="Ann4 - RP_IS"/>
      <sheetName val="Ann5 - CREG_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Base"/>
      <sheetName val="B AnnA - SUB_OS"/>
      <sheetName val="B AnnA - SUB_IS"/>
      <sheetName val="B Ann1 - SS_OS"/>
      <sheetName val="B Ann2 - LC_OS"/>
      <sheetName val="Invoice Regularization"/>
      <sheetName val="R Ann1 - SS_OS"/>
      <sheetName val="R Ann2 - LC_OS"/>
      <sheetName val="R Ann3 - AP_OS"/>
      <sheetName val="R Ann3 - AP_IS"/>
      <sheetName val="R Ann4 - RP_OS"/>
      <sheetName val="R Ann5 - CREG_OS"/>
      <sheetName val="R Ann5 - OSP_OS"/>
      <sheetName val="R Ann5 - URE_OS"/>
      <sheetName val="R Ann5 - FER_OS"/>
      <sheetName val="R Ann5 - ODP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PUT Access"/>
      <sheetName val="INPUT Souscriptions"/>
      <sheetName val="Données Complètes"/>
      <sheetName val="Résultats"/>
      <sheetName val="Résultats SOTEL"/>
      <sheetName val="Résultats DN"/>
      <sheetName val="BOUCLAGE ENERGIE"/>
      <sheetName val="4000 qh"/>
      <sheetName val="Jours_Fériés"/>
      <sheetName val="Historique Pointes"/>
      <sheetName val="Problèmes"/>
      <sheetName val="Warning"/>
      <sheetName val="Manquant"/>
      <sheetName val="Rejeté"/>
      <sheetName val="Négatifs"/>
      <sheetName val="Invalides"/>
      <sheetName val="Pointes Mens"/>
      <sheetName val="Pointes Mens DN"/>
      <sheetName val="Energies Mens"/>
      <sheetName val="Vierge Pte"/>
      <sheetName val="Vierge Ener"/>
      <sheetName val="Vierge BOUCLAGE"/>
      <sheetName val="TIC Data"/>
      <sheetName val="TIC BOUCLAGE"/>
      <sheetName val="INPUT Palliatif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ôle"/>
      <sheetName val="Invoice Regularization"/>
      <sheetName val="R Ann1 - SS_OS"/>
      <sheetName val="R Ann2 - LC_OS"/>
      <sheetName val="R Ann3 - AP_OS"/>
      <sheetName val="R Ann4 - RP_OS"/>
      <sheetName val="R Ann5 - CREG_OS"/>
      <sheetName val="R Ann5 - OSP_OS"/>
      <sheetName val="R Ann5 - URE_OS"/>
      <sheetName val="R Ann5 - FER_OS"/>
      <sheetName val="R Ann5 - ODP_OS"/>
      <sheetName val="Invoice Base"/>
      <sheetName val="B AnnA - SUB_OS"/>
      <sheetName val="B Ann1 - SS_OS"/>
      <sheetName val="B Ann2 - LC_OS"/>
      <sheetName val="Imput BASE"/>
      <sheetName val="Imput REGUL"/>
      <sheetName val="Autoproductions"/>
      <sheetName val="Données Complètes"/>
      <sheetName val="Suivi 4000qh"/>
      <sheetName val="Souscr Rejetée"/>
      <sheetName val="Souscr Manquante"/>
      <sheetName val="Estim. Energ. Manquante"/>
      <sheetName val="Probl Access"/>
      <sheetName val="Probl Souscr"/>
      <sheetName val="Probl Estim. Energ."/>
      <sheetName val="Probl Autoprod"/>
      <sheetName val="INPUT Access"/>
      <sheetName val="INPUT Souscr"/>
      <sheetName val="INPUT Estim. Ener."/>
      <sheetName val="Détail QH"/>
      <sheetName val="Compens Pertes act BXL"/>
      <sheetName val="Compens Pertes act VLN"/>
      <sheetName val="Compens Pertes act WAL"/>
      <sheetName val="Gest. Syst. et Serv. Aux. BXL"/>
      <sheetName val="Gest. Syst. et Serv. Aux. VLN"/>
      <sheetName val="Gest. Syst. et Serv. Aux. WAL"/>
      <sheetName val="Dépas Souscr OFF BXL"/>
      <sheetName val="Dépas Souscr OFF VLN"/>
      <sheetName val="Dépas Sousc OFF WAL"/>
      <sheetName val="Dépas Souscr INJ BXL"/>
      <sheetName val="Dépas Souscr INJ VLN"/>
      <sheetName val="Dépas Souscr INJ WAL"/>
      <sheetName val="Dépas Réactif BXL"/>
      <sheetName val="Dépas Réactif VLN"/>
      <sheetName val="Dépas Réactif WAL"/>
      <sheetName val="Tarifs BXL"/>
      <sheetName val="Tarifs VLN"/>
      <sheetName val="Tarifs WAL"/>
      <sheetName val="Imput BXL"/>
      <sheetName val="Imput VLN"/>
      <sheetName val="Imput WAL"/>
      <sheetName val="TIC Data"/>
      <sheetName val="Ctrl PUTM"/>
      <sheetName val="Modèle Invoice Base"/>
      <sheetName val="Modèle Invoice Regularization"/>
      <sheetName val="Modèle AnnA"/>
      <sheetName val="Modèle Ann1"/>
      <sheetName val="Modèle Ann2"/>
      <sheetName val="Modèle Ann3"/>
      <sheetName val="Modèle Ann4"/>
      <sheetName val="Modèle Ann5"/>
      <sheetName val="TE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E53"/>
  <sheetViews>
    <sheetView showGridLines="0" tabSelected="1" zoomScaleNormal="100" workbookViewId="0"/>
  </sheetViews>
  <sheetFormatPr defaultColWidth="11.42578125" defaultRowHeight="15.75" x14ac:dyDescent="0.25"/>
  <cols>
    <col min="1" max="1" width="3.140625" style="149" customWidth="1"/>
    <col min="2" max="2" width="3.140625" style="83" customWidth="1"/>
    <col min="3" max="3" width="3.28515625" style="83" customWidth="1"/>
    <col min="4" max="4" width="119.85546875" style="83" customWidth="1"/>
    <col min="5" max="5" width="2.85546875" style="83" customWidth="1"/>
    <col min="6" max="6" width="3" style="83" customWidth="1"/>
    <col min="7" max="16384" width="11.42578125" style="83"/>
  </cols>
  <sheetData>
    <row r="2" spans="2:5" x14ac:dyDescent="0.25">
      <c r="B2" s="146"/>
      <c r="C2" s="146"/>
      <c r="D2" s="146"/>
      <c r="E2" s="146"/>
    </row>
    <row r="3" spans="2:5" x14ac:dyDescent="0.25">
      <c r="B3" s="146"/>
      <c r="E3" s="146"/>
    </row>
    <row r="4" spans="2:5" x14ac:dyDescent="0.25">
      <c r="B4" s="146"/>
      <c r="E4" s="146"/>
    </row>
    <row r="5" spans="2:5" x14ac:dyDescent="0.25">
      <c r="B5" s="146"/>
      <c r="E5" s="146"/>
    </row>
    <row r="6" spans="2:5" x14ac:dyDescent="0.25">
      <c r="B6" s="146"/>
      <c r="E6" s="146"/>
    </row>
    <row r="7" spans="2:5" x14ac:dyDescent="0.25">
      <c r="B7" s="146"/>
      <c r="D7" s="83" t="s">
        <v>18</v>
      </c>
      <c r="E7" s="146"/>
    </row>
    <row r="8" spans="2:5" x14ac:dyDescent="0.25">
      <c r="B8" s="146"/>
      <c r="E8" s="146"/>
    </row>
    <row r="9" spans="2:5" x14ac:dyDescent="0.25">
      <c r="B9" s="146"/>
      <c r="D9" s="83" t="s">
        <v>144</v>
      </c>
      <c r="E9" s="146"/>
    </row>
    <row r="10" spans="2:5" x14ac:dyDescent="0.25">
      <c r="B10" s="146"/>
      <c r="D10" s="83" t="s">
        <v>58</v>
      </c>
      <c r="E10" s="146"/>
    </row>
    <row r="11" spans="2:5" x14ac:dyDescent="0.25">
      <c r="B11" s="146"/>
      <c r="D11" s="83" t="s">
        <v>19</v>
      </c>
      <c r="E11" s="146"/>
    </row>
    <row r="12" spans="2:5" x14ac:dyDescent="0.25">
      <c r="B12" s="146"/>
      <c r="E12" s="146"/>
    </row>
    <row r="13" spans="2:5" x14ac:dyDescent="0.25">
      <c r="B13" s="146"/>
      <c r="D13" s="83" t="s">
        <v>59</v>
      </c>
      <c r="E13" s="146"/>
    </row>
    <row r="14" spans="2:5" x14ac:dyDescent="0.25">
      <c r="B14" s="146"/>
      <c r="D14" s="83" t="s">
        <v>145</v>
      </c>
      <c r="E14" s="146"/>
    </row>
    <row r="15" spans="2:5" x14ac:dyDescent="0.25">
      <c r="B15" s="146"/>
      <c r="D15" s="83" t="s">
        <v>60</v>
      </c>
      <c r="E15" s="146"/>
    </row>
    <row r="16" spans="2:5" x14ac:dyDescent="0.25">
      <c r="B16" s="146"/>
      <c r="E16" s="146"/>
    </row>
    <row r="17" spans="2:5" x14ac:dyDescent="0.25">
      <c r="B17" s="146"/>
      <c r="D17" s="83" t="s">
        <v>169</v>
      </c>
      <c r="E17" s="146"/>
    </row>
    <row r="18" spans="2:5" x14ac:dyDescent="0.25">
      <c r="B18" s="146"/>
      <c r="E18" s="146"/>
    </row>
    <row r="19" spans="2:5" x14ac:dyDescent="0.25">
      <c r="B19" s="146"/>
      <c r="D19" s="147" t="s">
        <v>62</v>
      </c>
      <c r="E19" s="146"/>
    </row>
    <row r="20" spans="2:5" x14ac:dyDescent="0.25">
      <c r="B20" s="146"/>
      <c r="D20" s="147" t="s">
        <v>146</v>
      </c>
      <c r="E20" s="146"/>
    </row>
    <row r="21" spans="2:5" x14ac:dyDescent="0.25">
      <c r="B21" s="146"/>
      <c r="E21" s="146"/>
    </row>
    <row r="22" spans="2:5" ht="31.5" x14ac:dyDescent="0.25">
      <c r="B22" s="146"/>
      <c r="D22" s="147" t="s">
        <v>147</v>
      </c>
      <c r="E22" s="146"/>
    </row>
    <row r="23" spans="2:5" x14ac:dyDescent="0.25">
      <c r="B23" s="146"/>
      <c r="E23" s="146"/>
    </row>
    <row r="24" spans="2:5" x14ac:dyDescent="0.25">
      <c r="B24" s="146"/>
      <c r="D24" s="83" t="s">
        <v>63</v>
      </c>
      <c r="E24" s="146"/>
    </row>
    <row r="25" spans="2:5" x14ac:dyDescent="0.25">
      <c r="B25" s="146"/>
      <c r="D25" s="83" t="s">
        <v>64</v>
      </c>
      <c r="E25" s="146"/>
    </row>
    <row r="26" spans="2:5" x14ac:dyDescent="0.25">
      <c r="B26" s="146"/>
      <c r="D26" s="83" t="s">
        <v>65</v>
      </c>
      <c r="E26" s="146"/>
    </row>
    <row r="27" spans="2:5" x14ac:dyDescent="0.25">
      <c r="B27" s="146"/>
      <c r="E27" s="146"/>
    </row>
    <row r="28" spans="2:5" x14ac:dyDescent="0.25">
      <c r="B28" s="146"/>
      <c r="E28" s="146"/>
    </row>
    <row r="29" spans="2:5" x14ac:dyDescent="0.25">
      <c r="B29" s="146"/>
      <c r="D29" s="83" t="s">
        <v>135</v>
      </c>
      <c r="E29" s="146"/>
    </row>
    <row r="30" spans="2:5" x14ac:dyDescent="0.25">
      <c r="B30" s="146"/>
      <c r="D30" s="83" t="s">
        <v>136</v>
      </c>
      <c r="E30" s="146"/>
    </row>
    <row r="31" spans="2:5" x14ac:dyDescent="0.25">
      <c r="B31" s="146"/>
      <c r="C31" s="148"/>
      <c r="D31" s="148"/>
      <c r="E31" s="146"/>
    </row>
    <row r="32" spans="2:5" x14ac:dyDescent="0.25">
      <c r="B32" s="146"/>
      <c r="E32" s="146"/>
    </row>
    <row r="33" spans="2:5" x14ac:dyDescent="0.25">
      <c r="B33" s="146"/>
      <c r="D33" s="83" t="s">
        <v>12</v>
      </c>
      <c r="E33" s="146"/>
    </row>
    <row r="34" spans="2:5" x14ac:dyDescent="0.25">
      <c r="B34" s="146"/>
      <c r="E34" s="146"/>
    </row>
    <row r="35" spans="2:5" x14ac:dyDescent="0.25">
      <c r="B35" s="146"/>
      <c r="D35" s="83" t="s">
        <v>20</v>
      </c>
      <c r="E35" s="146"/>
    </row>
    <row r="36" spans="2:5" x14ac:dyDescent="0.25">
      <c r="B36" s="146"/>
      <c r="D36" s="83" t="s">
        <v>21</v>
      </c>
      <c r="E36" s="146"/>
    </row>
    <row r="37" spans="2:5" x14ac:dyDescent="0.25">
      <c r="B37" s="146"/>
      <c r="D37" s="83" t="s">
        <v>22</v>
      </c>
      <c r="E37" s="146"/>
    </row>
    <row r="38" spans="2:5" x14ac:dyDescent="0.25">
      <c r="B38" s="146"/>
      <c r="D38" s="83" t="s">
        <v>23</v>
      </c>
      <c r="E38" s="146"/>
    </row>
    <row r="39" spans="2:5" x14ac:dyDescent="0.25">
      <c r="B39" s="146"/>
      <c r="D39" s="83" t="s">
        <v>24</v>
      </c>
      <c r="E39" s="146"/>
    </row>
    <row r="40" spans="2:5" x14ac:dyDescent="0.25">
      <c r="B40" s="146"/>
      <c r="E40" s="146"/>
    </row>
    <row r="41" spans="2:5" x14ac:dyDescent="0.25">
      <c r="B41" s="146"/>
      <c r="D41" s="83" t="s">
        <v>25</v>
      </c>
      <c r="E41" s="146"/>
    </row>
    <row r="42" spans="2:5" x14ac:dyDescent="0.25">
      <c r="B42" s="146"/>
      <c r="D42" s="83" t="s">
        <v>26</v>
      </c>
      <c r="E42" s="146"/>
    </row>
    <row r="43" spans="2:5" x14ac:dyDescent="0.25">
      <c r="B43" s="146"/>
      <c r="D43" s="83" t="s">
        <v>27</v>
      </c>
      <c r="E43" s="146"/>
    </row>
    <row r="44" spans="2:5" x14ac:dyDescent="0.25">
      <c r="B44" s="146"/>
      <c r="D44" s="83" t="s">
        <v>28</v>
      </c>
      <c r="E44" s="146"/>
    </row>
    <row r="45" spans="2:5" x14ac:dyDescent="0.25">
      <c r="B45" s="146"/>
      <c r="E45" s="146"/>
    </row>
    <row r="46" spans="2:5" x14ac:dyDescent="0.25">
      <c r="B46" s="146"/>
      <c r="C46" s="146"/>
      <c r="D46" s="146"/>
      <c r="E46" s="146"/>
    </row>
    <row r="47" spans="2:5" x14ac:dyDescent="0.25">
      <c r="B47" s="149"/>
      <c r="C47" s="149"/>
      <c r="D47" s="149"/>
      <c r="E47" s="149"/>
    </row>
    <row r="48" spans="2:5" x14ac:dyDescent="0.25">
      <c r="B48" s="149"/>
      <c r="C48" s="149"/>
      <c r="D48" s="149"/>
      <c r="E48" s="149"/>
    </row>
    <row r="49" spans="2:5" x14ac:dyDescent="0.25">
      <c r="B49" s="149"/>
      <c r="C49" s="149"/>
      <c r="D49" s="149"/>
      <c r="E49" s="149"/>
    </row>
    <row r="50" spans="2:5" x14ac:dyDescent="0.25">
      <c r="B50" s="149"/>
      <c r="C50" s="149"/>
      <c r="D50" s="149"/>
      <c r="E50" s="149"/>
    </row>
    <row r="51" spans="2:5" x14ac:dyDescent="0.25">
      <c r="B51" s="149"/>
      <c r="C51" s="149"/>
      <c r="D51" s="149"/>
      <c r="E51" s="149"/>
    </row>
    <row r="52" spans="2:5" x14ac:dyDescent="0.25">
      <c r="B52" s="149"/>
      <c r="C52" s="149"/>
      <c r="D52" s="149"/>
      <c r="E52" s="149"/>
    </row>
    <row r="53" spans="2:5" x14ac:dyDescent="0.25">
      <c r="B53" s="149"/>
      <c r="C53" s="149"/>
      <c r="D53" s="149"/>
      <c r="E53" s="149"/>
    </row>
  </sheetData>
  <sheetProtection algorithmName="SHA-512" hashValue="GQFR0Vlqd/EqcR6nGoDly5AdMbMZAbuQOpioj8rOaIzs2jDZqXPBIL6MyMqrZR1cGvFPerqEk5B7d8X8tvvQgQ==" saltValue="o0mFEliWzEqk0mi5/jwEMA==" spinCount="100000" sheet="1" objects="1" scenarios="1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94"/>
  <sheetViews>
    <sheetView showGridLines="0" workbookViewId="0"/>
  </sheetViews>
  <sheetFormatPr defaultColWidth="9.140625" defaultRowHeight="12.75" x14ac:dyDescent="0.2"/>
  <cols>
    <col min="1" max="1" width="3.5703125" style="28" customWidth="1"/>
    <col min="2" max="2" width="3.5703125" style="17" customWidth="1"/>
    <col min="3" max="3" width="9.140625" style="17"/>
    <col min="4" max="4" width="8" style="17" customWidth="1"/>
    <col min="5" max="5" width="34" style="17" customWidth="1"/>
    <col min="6" max="6" width="15.28515625" style="17" customWidth="1"/>
    <col min="7" max="7" width="13.7109375" style="17" customWidth="1"/>
    <col min="8" max="8" width="17.28515625" style="17" customWidth="1"/>
    <col min="9" max="9" width="10.5703125" style="17" customWidth="1"/>
    <col min="10" max="10" width="9.140625" style="17"/>
    <col min="11" max="11" width="16" style="17" bestFit="1" customWidth="1"/>
    <col min="12" max="12" width="3.5703125" style="17" customWidth="1"/>
    <col min="13" max="13" width="3.85546875" style="17" customWidth="1"/>
    <col min="14" max="16384" width="9.140625" style="17"/>
  </cols>
  <sheetData>
    <row r="1" spans="2:13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x14ac:dyDescent="0.2">
      <c r="B2" s="19"/>
      <c r="M2" s="19"/>
    </row>
    <row r="3" spans="2:13" ht="15.75" x14ac:dyDescent="0.25">
      <c r="B3" s="19"/>
      <c r="C3" s="16" t="s">
        <v>33</v>
      </c>
      <c r="M3" s="19"/>
    </row>
    <row r="4" spans="2:13" x14ac:dyDescent="0.2">
      <c r="B4" s="19"/>
      <c r="M4" s="19"/>
    </row>
    <row r="5" spans="2:13" x14ac:dyDescent="0.2">
      <c r="B5" s="19"/>
      <c r="D5" s="17" t="s">
        <v>66</v>
      </c>
      <c r="M5" s="19"/>
    </row>
    <row r="6" spans="2:13" x14ac:dyDescent="0.2">
      <c r="B6" s="19"/>
      <c r="M6" s="19"/>
    </row>
    <row r="7" spans="2:13" x14ac:dyDescent="0.2">
      <c r="B7" s="19"/>
      <c r="E7" s="20" t="s">
        <v>148</v>
      </c>
      <c r="M7" s="19"/>
    </row>
    <row r="8" spans="2:13" ht="12.75" customHeight="1" x14ac:dyDescent="0.2">
      <c r="B8" s="19"/>
      <c r="K8" s="155"/>
      <c r="L8" s="129"/>
      <c r="M8" s="19"/>
    </row>
    <row r="9" spans="2:13" x14ac:dyDescent="0.2">
      <c r="B9" s="19"/>
      <c r="K9" s="155"/>
      <c r="L9" s="129"/>
      <c r="M9" s="19"/>
    </row>
    <row r="10" spans="2:13" x14ac:dyDescent="0.2">
      <c r="B10" s="19"/>
      <c r="E10" s="18" t="s">
        <v>31</v>
      </c>
      <c r="F10" s="152" t="s">
        <v>13</v>
      </c>
      <c r="G10" s="153"/>
      <c r="H10" s="153"/>
      <c r="I10" s="153"/>
      <c r="J10" s="154"/>
      <c r="K10" s="155"/>
      <c r="M10" s="19"/>
    </row>
    <row r="11" spans="2:13" x14ac:dyDescent="0.2">
      <c r="B11" s="19"/>
      <c r="M11" s="19"/>
    </row>
    <row r="12" spans="2:13" x14ac:dyDescent="0.2">
      <c r="B12" s="19"/>
      <c r="E12" s="18" t="s">
        <v>30</v>
      </c>
      <c r="F12" s="152" t="s">
        <v>167</v>
      </c>
      <c r="G12" s="154"/>
      <c r="M12" s="19"/>
    </row>
    <row r="13" spans="2:13" x14ac:dyDescent="0.2">
      <c r="B13" s="19"/>
      <c r="E13" s="18"/>
      <c r="M13" s="19"/>
    </row>
    <row r="14" spans="2:13" x14ac:dyDescent="0.2">
      <c r="B14" s="19"/>
      <c r="E14" s="135" t="s">
        <v>61</v>
      </c>
      <c r="F14" s="152" t="s">
        <v>168</v>
      </c>
      <c r="G14" s="154"/>
      <c r="H14" s="151"/>
      <c r="I14" s="151"/>
      <c r="J14" s="151"/>
      <c r="K14" s="151"/>
      <c r="M14" s="19"/>
    </row>
    <row r="15" spans="2:13" x14ac:dyDescent="0.2">
      <c r="B15" s="19"/>
      <c r="M15" s="19"/>
    </row>
    <row r="16" spans="2:13" x14ac:dyDescent="0.2">
      <c r="B16" s="19"/>
      <c r="D16" s="17" t="s">
        <v>128</v>
      </c>
      <c r="M16" s="19"/>
    </row>
    <row r="17" spans="2:13" x14ac:dyDescent="0.2">
      <c r="B17" s="19"/>
      <c r="M17" s="19"/>
    </row>
    <row r="18" spans="2:13" x14ac:dyDescent="0.2">
      <c r="B18" s="19"/>
      <c r="E18" s="20" t="s">
        <v>129</v>
      </c>
      <c r="M18" s="19"/>
    </row>
    <row r="19" spans="2:13" x14ac:dyDescent="0.2">
      <c r="B19" s="19"/>
      <c r="E19" s="20" t="s">
        <v>130</v>
      </c>
      <c r="M19" s="19"/>
    </row>
    <row r="20" spans="2:13" x14ac:dyDescent="0.2">
      <c r="B20" s="19"/>
      <c r="E20" s="20" t="s">
        <v>150</v>
      </c>
      <c r="M20" s="19"/>
    </row>
    <row r="21" spans="2:13" x14ac:dyDescent="0.2">
      <c r="B21" s="19"/>
      <c r="M21" s="19"/>
    </row>
    <row r="22" spans="2:13" x14ac:dyDescent="0.2">
      <c r="B22" s="19"/>
      <c r="E22" s="20" t="s">
        <v>149</v>
      </c>
      <c r="F22" s="20"/>
      <c r="M22" s="19"/>
    </row>
    <row r="23" spans="2:13" x14ac:dyDescent="0.2">
      <c r="B23" s="19"/>
      <c r="E23" s="20"/>
      <c r="M23" s="19"/>
    </row>
    <row r="24" spans="2:13" ht="25.5" x14ac:dyDescent="0.2">
      <c r="B24" s="19"/>
      <c r="F24" s="82" t="s">
        <v>188</v>
      </c>
      <c r="G24" s="82" t="s">
        <v>141</v>
      </c>
      <c r="H24" s="82" t="s">
        <v>189</v>
      </c>
      <c r="I24" s="82" t="s">
        <v>34</v>
      </c>
      <c r="K24" s="137"/>
      <c r="L24" s="137"/>
      <c r="M24" s="19"/>
    </row>
    <row r="25" spans="2:13" x14ac:dyDescent="0.2">
      <c r="B25" s="19"/>
      <c r="E25" s="21" t="s">
        <v>67</v>
      </c>
      <c r="F25" s="22"/>
      <c r="G25" s="81"/>
      <c r="H25" s="22"/>
      <c r="I25" s="81">
        <f>MAX($G$26:$G$36,H25)</f>
        <v>0</v>
      </c>
      <c r="J25" s="156" t="str">
        <f>IF(H25&gt;F25,"Peaks A and B incompatible","")</f>
        <v/>
      </c>
      <c r="K25" s="157"/>
      <c r="L25" s="157"/>
      <c r="M25" s="19"/>
    </row>
    <row r="26" spans="2:13" x14ac:dyDescent="0.2">
      <c r="B26" s="19"/>
      <c r="E26" s="21" t="s">
        <v>68</v>
      </c>
      <c r="F26" s="22"/>
      <c r="G26" s="22"/>
      <c r="H26" s="22"/>
      <c r="I26" s="81">
        <f>MAX($G27:$G$36,H$25:H26)</f>
        <v>0</v>
      </c>
      <c r="J26" s="156" t="str">
        <f>IF(H26&gt;F26,"Peaks A and B incompatible","")</f>
        <v/>
      </c>
      <c r="K26" s="157"/>
      <c r="L26" s="157"/>
      <c r="M26" s="19"/>
    </row>
    <row r="27" spans="2:13" x14ac:dyDescent="0.2">
      <c r="B27" s="19"/>
      <c r="E27" s="21" t="s">
        <v>69</v>
      </c>
      <c r="F27" s="22"/>
      <c r="G27" s="22"/>
      <c r="H27" s="22"/>
      <c r="I27" s="81">
        <f>MAX($G28:$G$36,H$25:H27)</f>
        <v>0</v>
      </c>
      <c r="J27" s="156" t="str">
        <f>IF(H27&gt;F27,"Peaks A and B incompatible","")</f>
        <v/>
      </c>
      <c r="K27" s="157"/>
      <c r="L27" s="157"/>
      <c r="M27" s="19"/>
    </row>
    <row r="28" spans="2:13" x14ac:dyDescent="0.2">
      <c r="B28" s="19"/>
      <c r="E28" s="21" t="s">
        <v>70</v>
      </c>
      <c r="F28" s="22"/>
      <c r="G28" s="81"/>
      <c r="H28" s="81"/>
      <c r="I28" s="81">
        <f>MAX($G29:$G$36,H$25:H28)</f>
        <v>0</v>
      </c>
      <c r="J28" s="28"/>
      <c r="K28" s="29"/>
      <c r="L28" s="29"/>
      <c r="M28" s="19"/>
    </row>
    <row r="29" spans="2:13" x14ac:dyDescent="0.2">
      <c r="B29" s="19"/>
      <c r="E29" s="21" t="s">
        <v>71</v>
      </c>
      <c r="F29" s="22"/>
      <c r="G29" s="81"/>
      <c r="H29" s="81"/>
      <c r="I29" s="81">
        <f>MAX($G30:$G$36,H$25:H29)</f>
        <v>0</v>
      </c>
      <c r="J29" s="28"/>
      <c r="K29" s="29"/>
      <c r="L29" s="29"/>
      <c r="M29" s="19"/>
    </row>
    <row r="30" spans="2:13" x14ac:dyDescent="0.2">
      <c r="B30" s="19"/>
      <c r="E30" s="21" t="s">
        <v>72</v>
      </c>
      <c r="F30" s="22"/>
      <c r="G30" s="81"/>
      <c r="H30" s="81"/>
      <c r="I30" s="81">
        <f>MAX($G31:$G$36,H$25:H30)</f>
        <v>0</v>
      </c>
      <c r="J30" s="28"/>
      <c r="K30" s="29"/>
      <c r="L30" s="29"/>
      <c r="M30" s="19"/>
    </row>
    <row r="31" spans="2:13" x14ac:dyDescent="0.2">
      <c r="B31" s="19"/>
      <c r="E31" s="21" t="s">
        <v>73</v>
      </c>
      <c r="F31" s="22"/>
      <c r="G31" s="81"/>
      <c r="H31" s="81"/>
      <c r="I31" s="81">
        <f>MAX($G32:$G$36,H$25:H31)</f>
        <v>0</v>
      </c>
      <c r="J31" s="28"/>
      <c r="K31" s="29"/>
      <c r="L31" s="29"/>
      <c r="M31" s="19"/>
    </row>
    <row r="32" spans="2:13" x14ac:dyDescent="0.2">
      <c r="B32" s="19"/>
      <c r="E32" s="21" t="s">
        <v>74</v>
      </c>
      <c r="F32" s="22"/>
      <c r="G32" s="81"/>
      <c r="H32" s="81"/>
      <c r="I32" s="81">
        <f>MAX($G33:$G$36,H$25:H32)</f>
        <v>0</v>
      </c>
      <c r="J32" s="28"/>
      <c r="K32" s="29"/>
      <c r="L32" s="29"/>
      <c r="M32" s="19"/>
    </row>
    <row r="33" spans="2:13" x14ac:dyDescent="0.2">
      <c r="B33" s="19"/>
      <c r="E33" s="21" t="s">
        <v>75</v>
      </c>
      <c r="F33" s="22"/>
      <c r="G33" s="81"/>
      <c r="H33" s="81"/>
      <c r="I33" s="81">
        <f>MAX($G34:$G$36,H$25:H33)</f>
        <v>0</v>
      </c>
      <c r="J33" s="28"/>
      <c r="K33" s="29"/>
      <c r="L33" s="29"/>
      <c r="M33" s="19"/>
    </row>
    <row r="34" spans="2:13" x14ac:dyDescent="0.2">
      <c r="B34" s="19"/>
      <c r="E34" s="21" t="s">
        <v>76</v>
      </c>
      <c r="F34" s="22"/>
      <c r="G34" s="81"/>
      <c r="H34" s="81"/>
      <c r="I34" s="81">
        <f>MAX($G35:$G$36,H$25:H34)</f>
        <v>0</v>
      </c>
      <c r="J34" s="28"/>
      <c r="K34" s="29"/>
      <c r="L34" s="29"/>
      <c r="M34" s="19"/>
    </row>
    <row r="35" spans="2:13" x14ac:dyDescent="0.2">
      <c r="B35" s="19"/>
      <c r="E35" s="21" t="s">
        <v>77</v>
      </c>
      <c r="F35" s="22"/>
      <c r="G35" s="22"/>
      <c r="H35" s="22"/>
      <c r="I35" s="81">
        <f>MAX($G36:$G$36,H$25:H35)</f>
        <v>0</v>
      </c>
      <c r="J35" s="156" t="str">
        <f>IF(H35&gt;F35,"Peaks A and B incompatible","")</f>
        <v/>
      </c>
      <c r="K35" s="157"/>
      <c r="L35" s="157"/>
      <c r="M35" s="19"/>
    </row>
    <row r="36" spans="2:13" x14ac:dyDescent="0.2">
      <c r="B36" s="19"/>
      <c r="E36" s="21" t="s">
        <v>78</v>
      </c>
      <c r="F36" s="22"/>
      <c r="G36" s="22"/>
      <c r="H36" s="22"/>
      <c r="I36" s="81">
        <f>MAX(H$25:H36)</f>
        <v>0</v>
      </c>
      <c r="J36" s="156" t="str">
        <f>IF(H36&gt;F36,"Peaks A and B incompatible","")</f>
        <v/>
      </c>
      <c r="K36" s="157"/>
      <c r="L36" s="157"/>
      <c r="M36" s="19"/>
    </row>
    <row r="37" spans="2:13" x14ac:dyDescent="0.2">
      <c r="B37" s="19"/>
      <c r="M37" s="19"/>
    </row>
    <row r="38" spans="2:13" x14ac:dyDescent="0.2">
      <c r="B38" s="19"/>
      <c r="M38" s="19"/>
    </row>
    <row r="39" spans="2:13" x14ac:dyDescent="0.2">
      <c r="B39" s="19"/>
      <c r="D39" s="17" t="s">
        <v>35</v>
      </c>
      <c r="E39" s="18"/>
      <c r="F39" s="18"/>
      <c r="G39" s="18"/>
      <c r="M39" s="19"/>
    </row>
    <row r="40" spans="2:13" x14ac:dyDescent="0.2">
      <c r="B40" s="19"/>
      <c r="M40" s="19"/>
    </row>
    <row r="41" spans="2:13" x14ac:dyDescent="0.2">
      <c r="B41" s="19"/>
      <c r="E41" s="20" t="s">
        <v>36</v>
      </c>
      <c r="M41" s="19"/>
    </row>
    <row r="42" spans="2:13" x14ac:dyDescent="0.2">
      <c r="B42" s="19"/>
      <c r="E42" s="20"/>
      <c r="M42" s="19"/>
    </row>
    <row r="43" spans="2:13" x14ac:dyDescent="0.2">
      <c r="B43" s="19"/>
      <c r="E43" s="20" t="s">
        <v>151</v>
      </c>
      <c r="M43" s="19"/>
    </row>
    <row r="44" spans="2:13" x14ac:dyDescent="0.2">
      <c r="B44" s="19"/>
      <c r="E44" s="100" t="s">
        <v>137</v>
      </c>
      <c r="M44" s="19"/>
    </row>
    <row r="45" spans="2:13" x14ac:dyDescent="0.2">
      <c r="B45" s="19"/>
      <c r="E45" s="100" t="s">
        <v>138</v>
      </c>
      <c r="M45" s="19"/>
    </row>
    <row r="46" spans="2:13" x14ac:dyDescent="0.2">
      <c r="B46" s="19"/>
      <c r="E46" s="100"/>
      <c r="M46" s="19"/>
    </row>
    <row r="47" spans="2:13" x14ac:dyDescent="0.2">
      <c r="B47" s="19"/>
      <c r="F47" s="132"/>
      <c r="G47" s="156" t="str">
        <f>IF(F47&lt;MAX(F25:F36),"        Error: lower than the maximum peak of 2019","")</f>
        <v/>
      </c>
      <c r="H47" s="158"/>
      <c r="I47" s="158"/>
      <c r="J47" s="158"/>
      <c r="K47" s="158"/>
      <c r="M47" s="19"/>
    </row>
    <row r="48" spans="2:13" x14ac:dyDescent="0.2">
      <c r="B48" s="19"/>
      <c r="M48" s="19"/>
    </row>
    <row r="49" spans="2:13" x14ac:dyDescent="0.2">
      <c r="B49" s="19"/>
      <c r="M49" s="19"/>
    </row>
    <row r="50" spans="2:13" x14ac:dyDescent="0.2">
      <c r="B50" s="19"/>
      <c r="D50" s="17" t="s">
        <v>131</v>
      </c>
      <c r="M50" s="19"/>
    </row>
    <row r="51" spans="2:13" x14ac:dyDescent="0.2">
      <c r="B51" s="19"/>
      <c r="M51" s="19"/>
    </row>
    <row r="52" spans="2:13" x14ac:dyDescent="0.2">
      <c r="B52" s="19"/>
      <c r="E52" s="20" t="s">
        <v>132</v>
      </c>
      <c r="M52" s="19"/>
    </row>
    <row r="53" spans="2:13" x14ac:dyDescent="0.2">
      <c r="B53" s="19"/>
      <c r="M53" s="19"/>
    </row>
    <row r="54" spans="2:13" x14ac:dyDescent="0.2">
      <c r="B54" s="19"/>
      <c r="E54" s="20" t="s">
        <v>140</v>
      </c>
      <c r="M54" s="19"/>
    </row>
    <row r="55" spans="2:13" x14ac:dyDescent="0.2">
      <c r="B55" s="19"/>
      <c r="E55" s="20" t="s">
        <v>139</v>
      </c>
      <c r="M55" s="19"/>
    </row>
    <row r="56" spans="2:13" x14ac:dyDescent="0.2">
      <c r="B56" s="19"/>
      <c r="M56" s="19"/>
    </row>
    <row r="57" spans="2:13" x14ac:dyDescent="0.2">
      <c r="B57" s="19"/>
      <c r="F57" s="138">
        <v>1</v>
      </c>
      <c r="M57" s="19"/>
    </row>
    <row r="58" spans="2:13" x14ac:dyDescent="0.2">
      <c r="B58" s="19"/>
      <c r="M58" s="19"/>
    </row>
    <row r="59" spans="2:13" x14ac:dyDescent="0.2">
      <c r="B59" s="19"/>
      <c r="M59" s="19"/>
    </row>
    <row r="60" spans="2:13" ht="38.25" x14ac:dyDescent="0.2">
      <c r="B60" s="19"/>
      <c r="F60" s="82" t="s">
        <v>37</v>
      </c>
      <c r="G60" s="82" t="s">
        <v>38</v>
      </c>
      <c r="H60" s="82" t="s">
        <v>39</v>
      </c>
      <c r="M60" s="19"/>
    </row>
    <row r="61" spans="2:13" x14ac:dyDescent="0.2">
      <c r="B61" s="19"/>
      <c r="E61" s="21" t="s">
        <v>67</v>
      </c>
      <c r="F61" s="130">
        <v>744</v>
      </c>
      <c r="G61" s="131">
        <f t="shared" ref="G61:G72" si="0">F25*F61</f>
        <v>0</v>
      </c>
      <c r="H61" s="132"/>
      <c r="I61" s="150" t="str">
        <f>IF(H61&gt;G61,"Energy and peak not compatible","")</f>
        <v/>
      </c>
      <c r="J61" s="151"/>
      <c r="K61" s="151"/>
      <c r="M61" s="19"/>
    </row>
    <row r="62" spans="2:13" x14ac:dyDescent="0.2">
      <c r="B62" s="19"/>
      <c r="E62" s="21" t="s">
        <v>68</v>
      </c>
      <c r="F62" s="130">
        <v>696</v>
      </c>
      <c r="G62" s="131">
        <f t="shared" si="0"/>
        <v>0</v>
      </c>
      <c r="H62" s="132"/>
      <c r="I62" s="150" t="str">
        <f t="shared" ref="I62:I72" si="1">IF(H62&gt;G62,"Energy and peak not compatible","")</f>
        <v/>
      </c>
      <c r="J62" s="151"/>
      <c r="K62" s="151"/>
      <c r="M62" s="19"/>
    </row>
    <row r="63" spans="2:13" x14ac:dyDescent="0.2">
      <c r="B63" s="19"/>
      <c r="E63" s="21" t="s">
        <v>69</v>
      </c>
      <c r="F63" s="130">
        <v>743</v>
      </c>
      <c r="G63" s="131">
        <f t="shared" si="0"/>
        <v>0</v>
      </c>
      <c r="H63" s="132"/>
      <c r="I63" s="150" t="str">
        <f t="shared" si="1"/>
        <v/>
      </c>
      <c r="J63" s="151"/>
      <c r="K63" s="151"/>
      <c r="M63" s="19"/>
    </row>
    <row r="64" spans="2:13" x14ac:dyDescent="0.2">
      <c r="B64" s="19"/>
      <c r="E64" s="21" t="s">
        <v>70</v>
      </c>
      <c r="F64" s="130">
        <v>720</v>
      </c>
      <c r="G64" s="131">
        <f t="shared" si="0"/>
        <v>0</v>
      </c>
      <c r="H64" s="132"/>
      <c r="I64" s="150" t="str">
        <f t="shared" si="1"/>
        <v/>
      </c>
      <c r="J64" s="151"/>
      <c r="K64" s="151"/>
      <c r="M64" s="19"/>
    </row>
    <row r="65" spans="2:13" x14ac:dyDescent="0.2">
      <c r="B65" s="19"/>
      <c r="E65" s="21" t="s">
        <v>71</v>
      </c>
      <c r="F65" s="130">
        <v>744</v>
      </c>
      <c r="G65" s="131">
        <f t="shared" si="0"/>
        <v>0</v>
      </c>
      <c r="H65" s="132"/>
      <c r="I65" s="150" t="str">
        <f t="shared" si="1"/>
        <v/>
      </c>
      <c r="J65" s="151"/>
      <c r="K65" s="151"/>
      <c r="M65" s="19"/>
    </row>
    <row r="66" spans="2:13" x14ac:dyDescent="0.2">
      <c r="B66" s="19"/>
      <c r="E66" s="21" t="s">
        <v>72</v>
      </c>
      <c r="F66" s="130">
        <v>720</v>
      </c>
      <c r="G66" s="131">
        <f t="shared" si="0"/>
        <v>0</v>
      </c>
      <c r="H66" s="132"/>
      <c r="I66" s="150" t="str">
        <f t="shared" si="1"/>
        <v/>
      </c>
      <c r="J66" s="151"/>
      <c r="K66" s="151"/>
      <c r="M66" s="19"/>
    </row>
    <row r="67" spans="2:13" x14ac:dyDescent="0.2">
      <c r="B67" s="19"/>
      <c r="E67" s="21" t="s">
        <v>73</v>
      </c>
      <c r="F67" s="130">
        <v>744</v>
      </c>
      <c r="G67" s="131">
        <f t="shared" si="0"/>
        <v>0</v>
      </c>
      <c r="H67" s="132"/>
      <c r="I67" s="150" t="str">
        <f t="shared" si="1"/>
        <v/>
      </c>
      <c r="J67" s="151"/>
      <c r="K67" s="151"/>
      <c r="M67" s="19"/>
    </row>
    <row r="68" spans="2:13" x14ac:dyDescent="0.2">
      <c r="B68" s="19"/>
      <c r="E68" s="21" t="s">
        <v>74</v>
      </c>
      <c r="F68" s="130">
        <v>744</v>
      </c>
      <c r="G68" s="131">
        <f t="shared" si="0"/>
        <v>0</v>
      </c>
      <c r="H68" s="132"/>
      <c r="I68" s="150" t="str">
        <f t="shared" si="1"/>
        <v/>
      </c>
      <c r="J68" s="151"/>
      <c r="K68" s="151"/>
      <c r="M68" s="19"/>
    </row>
    <row r="69" spans="2:13" x14ac:dyDescent="0.2">
      <c r="B69" s="19"/>
      <c r="E69" s="21" t="s">
        <v>75</v>
      </c>
      <c r="F69" s="130">
        <v>720</v>
      </c>
      <c r="G69" s="131">
        <f t="shared" si="0"/>
        <v>0</v>
      </c>
      <c r="H69" s="132"/>
      <c r="I69" s="150" t="str">
        <f t="shared" si="1"/>
        <v/>
      </c>
      <c r="J69" s="151"/>
      <c r="K69" s="151"/>
      <c r="M69" s="19"/>
    </row>
    <row r="70" spans="2:13" x14ac:dyDescent="0.2">
      <c r="B70" s="19"/>
      <c r="E70" s="21" t="s">
        <v>76</v>
      </c>
      <c r="F70" s="130">
        <v>745</v>
      </c>
      <c r="G70" s="131">
        <f t="shared" si="0"/>
        <v>0</v>
      </c>
      <c r="H70" s="132"/>
      <c r="I70" s="150" t="str">
        <f t="shared" si="1"/>
        <v/>
      </c>
      <c r="J70" s="151"/>
      <c r="K70" s="151"/>
      <c r="M70" s="19"/>
    </row>
    <row r="71" spans="2:13" x14ac:dyDescent="0.2">
      <c r="B71" s="19"/>
      <c r="E71" s="21" t="s">
        <v>77</v>
      </c>
      <c r="F71" s="130">
        <v>720</v>
      </c>
      <c r="G71" s="131">
        <f t="shared" si="0"/>
        <v>0</v>
      </c>
      <c r="H71" s="132"/>
      <c r="I71" s="150" t="str">
        <f t="shared" si="1"/>
        <v/>
      </c>
      <c r="J71" s="151"/>
      <c r="K71" s="151"/>
      <c r="M71" s="19"/>
    </row>
    <row r="72" spans="2:13" x14ac:dyDescent="0.2">
      <c r="B72" s="19"/>
      <c r="E72" s="21" t="s">
        <v>78</v>
      </c>
      <c r="F72" s="130">
        <v>744</v>
      </c>
      <c r="G72" s="131">
        <f t="shared" si="0"/>
        <v>0</v>
      </c>
      <c r="H72" s="132"/>
      <c r="I72" s="150" t="str">
        <f t="shared" si="1"/>
        <v/>
      </c>
      <c r="J72" s="151"/>
      <c r="K72" s="151"/>
      <c r="M72" s="19"/>
    </row>
    <row r="73" spans="2:13" x14ac:dyDescent="0.2">
      <c r="B73" s="19"/>
      <c r="H73" s="133">
        <f>SUM(H61:H72)</f>
        <v>0</v>
      </c>
      <c r="M73" s="19"/>
    </row>
    <row r="74" spans="2:13" x14ac:dyDescent="0.2">
      <c r="B74" s="19"/>
      <c r="M74" s="19"/>
    </row>
    <row r="75" spans="2:13" x14ac:dyDescent="0.2">
      <c r="B75" s="19"/>
      <c r="M75" s="19"/>
    </row>
    <row r="76" spans="2:13" x14ac:dyDescent="0.2">
      <c r="B76" s="19"/>
      <c r="D76" s="134" t="s">
        <v>133</v>
      </c>
      <c r="M76" s="19"/>
    </row>
    <row r="77" spans="2:13" x14ac:dyDescent="0.2">
      <c r="B77" s="19"/>
      <c r="M77" s="19"/>
    </row>
    <row r="78" spans="2:13" x14ac:dyDescent="0.2">
      <c r="B78" s="19"/>
      <c r="E78" s="20" t="s">
        <v>134</v>
      </c>
      <c r="M78" s="19"/>
    </row>
    <row r="79" spans="2:13" x14ac:dyDescent="0.2">
      <c r="B79" s="19"/>
      <c r="E79" s="20"/>
      <c r="M79" s="19"/>
    </row>
    <row r="80" spans="2:13" x14ac:dyDescent="0.2">
      <c r="B80" s="19"/>
      <c r="E80" s="20"/>
      <c r="F80" s="132"/>
      <c r="M80" s="19"/>
    </row>
    <row r="81" spans="2:13" x14ac:dyDescent="0.2">
      <c r="B81" s="19"/>
      <c r="E81" s="20"/>
      <c r="M81" s="19"/>
    </row>
    <row r="82" spans="2:13" x14ac:dyDescent="0.2">
      <c r="B82" s="19"/>
      <c r="M82" s="19"/>
    </row>
    <row r="83" spans="2:13" x14ac:dyDescent="0.2">
      <c r="B83" s="19"/>
      <c r="D83" s="134" t="s">
        <v>187</v>
      </c>
      <c r="M83" s="19"/>
    </row>
    <row r="84" spans="2:13" x14ac:dyDescent="0.2">
      <c r="B84" s="19"/>
      <c r="M84" s="19"/>
    </row>
    <row r="85" spans="2:13" x14ac:dyDescent="0.2">
      <c r="B85" s="19"/>
      <c r="E85" s="17" t="s">
        <v>29</v>
      </c>
      <c r="F85" s="145" t="s">
        <v>143</v>
      </c>
      <c r="M85" s="19"/>
    </row>
    <row r="86" spans="2:13" x14ac:dyDescent="0.2">
      <c r="B86" s="19"/>
      <c r="M86" s="19"/>
    </row>
    <row r="87" spans="2:13" x14ac:dyDescent="0.2">
      <c r="B87" s="19"/>
      <c r="E87" s="17" t="s">
        <v>142</v>
      </c>
      <c r="F87" s="152" t="s">
        <v>153</v>
      </c>
      <c r="G87" s="153"/>
      <c r="H87" s="154"/>
      <c r="M87" s="19"/>
    </row>
    <row r="88" spans="2:13" x14ac:dyDescent="0.2">
      <c r="B88" s="19"/>
      <c r="H88" s="140" t="s">
        <v>158</v>
      </c>
      <c r="M88" s="19"/>
    </row>
    <row r="89" spans="2:13" x14ac:dyDescent="0.2">
      <c r="B89" s="19"/>
      <c r="H89" s="140" t="s">
        <v>152</v>
      </c>
      <c r="M89" s="19"/>
    </row>
    <row r="90" spans="2:13" x14ac:dyDescent="0.2">
      <c r="B90" s="19"/>
      <c r="M90" s="19"/>
    </row>
    <row r="91" spans="2:13" x14ac:dyDescent="0.2">
      <c r="B91" s="19"/>
      <c r="E91" s="20" t="s">
        <v>40</v>
      </c>
      <c r="M91" s="19"/>
    </row>
    <row r="92" spans="2:13" x14ac:dyDescent="0.2">
      <c r="B92" s="19"/>
      <c r="E92" s="20" t="s">
        <v>41</v>
      </c>
      <c r="M92" s="19"/>
    </row>
    <row r="93" spans="2:13" x14ac:dyDescent="0.2">
      <c r="B93" s="19"/>
      <c r="M93" s="19"/>
    </row>
    <row r="94" spans="2:13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</sheetData>
  <sheetProtection algorithmName="SHA-512" hashValue="N2VqtNzarKKH2106Cx0B2l0KFnBkA5IeD1VLv8YxA1QUWty9mi5RFCzSiSRmgWJewqwA4lYKia/0GXtpkjUgJg==" saltValue="uptBvFbrJKqEU+JG+ymfYA==" spinCount="100000" sheet="1" objects="1" scenarios="1"/>
  <mergeCells count="24">
    <mergeCell ref="F87:H87"/>
    <mergeCell ref="K8:K10"/>
    <mergeCell ref="I61:K61"/>
    <mergeCell ref="I62:K62"/>
    <mergeCell ref="I63:K63"/>
    <mergeCell ref="H14:K14"/>
    <mergeCell ref="J25:L25"/>
    <mergeCell ref="J26:L26"/>
    <mergeCell ref="J27:L27"/>
    <mergeCell ref="J35:L35"/>
    <mergeCell ref="J36:L36"/>
    <mergeCell ref="F10:J10"/>
    <mergeCell ref="F12:G12"/>
    <mergeCell ref="F14:G14"/>
    <mergeCell ref="I65:K65"/>
    <mergeCell ref="G47:K47"/>
    <mergeCell ref="I64:K64"/>
    <mergeCell ref="I72:K72"/>
    <mergeCell ref="I66:K66"/>
    <mergeCell ref="I67:K67"/>
    <mergeCell ref="I68:K68"/>
    <mergeCell ref="I69:K69"/>
    <mergeCell ref="I70:K70"/>
    <mergeCell ref="I71:K71"/>
  </mergeCells>
  <dataValidations count="6">
    <dataValidation type="decimal" allowBlank="1" showInputMessage="1" showErrorMessage="1" error="Valeur comprise entre 0 et 999999999" sqref="F25:H36 H61:H72">
      <formula1>0</formula1>
      <formula2>999999999</formula2>
    </dataValidation>
    <dataValidation type="list" allowBlank="1" showInputMessage="1" showErrorMessage="1" sqref="F10:J10">
      <formula1>"On the 380/220/150 kV network,On the 70/36/30 kV network,At transformer output to medium voltage"</formula1>
    </dataValidation>
    <dataValidation type="list" allowBlank="1" showInputMessage="1" showErrorMessage="1" sqref="F12:G12">
      <formula1>"Brussels,Flanders,Wallonia"</formula1>
    </dataValidation>
    <dataValidation type="list" allowBlank="1" showInputMessage="1" showErrorMessage="1" sqref="F14:G14">
      <formula1>"Principal,Additional"</formula1>
    </dataValidation>
    <dataValidation type="list" allowBlank="1" showInputMessage="1" showErrorMessage="1" sqref="F87:H87">
      <formula1>"Culture and animal production (01),Industrial companies (10 to 33),Education (85),Hospital (86),Medico-social (87-88),Other"</formula1>
    </dataValidation>
    <dataValidation type="list" allowBlank="1" showInputMessage="1" showErrorMessage="1" sqref="F85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8" scale="93" orientation="portrait" r:id="rId1"/>
  <drawing r:id="rId2"/>
  <legacyDrawing r:id="rId3"/>
  <controls>
    <mc:AlternateContent xmlns:mc="http://schemas.openxmlformats.org/markup-compatibility/2006">
      <mc:Choice Requires="x14">
        <control shapeId="4190" r:id="rId4" name="cmd_Calcul_Energy">
          <controlPr defaultSize="0" autoLine="0" r:id="rId5">
            <anchor moveWithCells="1">
              <from>
                <xdr:col>6</xdr:col>
                <xdr:colOff>114300</xdr:colOff>
                <xdr:row>55</xdr:row>
                <xdr:rowOff>57150</xdr:rowOff>
              </from>
              <to>
                <xdr:col>7</xdr:col>
                <xdr:colOff>914400</xdr:colOff>
                <xdr:row>57</xdr:row>
                <xdr:rowOff>66675</xdr:rowOff>
              </to>
            </anchor>
          </controlPr>
        </control>
      </mc:Choice>
      <mc:Fallback>
        <control shapeId="4190" r:id="rId4" name="cmd_Calcul_Energy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H60"/>
  <sheetViews>
    <sheetView showGridLines="0" workbookViewId="0"/>
  </sheetViews>
  <sheetFormatPr defaultColWidth="9.140625" defaultRowHeight="12.75" x14ac:dyDescent="0.2"/>
  <cols>
    <col min="1" max="1" width="3.42578125" style="87" customWidth="1"/>
    <col min="2" max="2" width="22.140625" style="87" customWidth="1"/>
    <col min="3" max="3" width="63.5703125" style="87" customWidth="1"/>
    <col min="4" max="4" width="32.140625" style="87" customWidth="1"/>
    <col min="5" max="5" width="32.140625" style="103" customWidth="1"/>
    <col min="6" max="6" width="4.42578125" style="87" customWidth="1"/>
    <col min="7" max="8" width="28" style="87" bestFit="1" customWidth="1"/>
    <col min="9" max="16384" width="9.140625" style="87"/>
  </cols>
  <sheetData>
    <row r="2" spans="2:6" x14ac:dyDescent="0.2">
      <c r="B2" s="13"/>
      <c r="C2" s="14"/>
    </row>
    <row r="3" spans="2:6" ht="15.75" x14ac:dyDescent="0.25">
      <c r="B3" s="25" t="s">
        <v>42</v>
      </c>
      <c r="C3" s="15"/>
    </row>
    <row r="4" spans="2:6" x14ac:dyDescent="0.2">
      <c r="B4" s="11" t="s">
        <v>32</v>
      </c>
      <c r="C4" s="15" t="s">
        <v>16</v>
      </c>
    </row>
    <row r="5" spans="2:6" x14ac:dyDescent="0.2">
      <c r="B5" s="11" t="s">
        <v>31</v>
      </c>
      <c r="C5" s="15" t="str">
        <f>D_Tension</f>
        <v>On the 380/220/150 kV network</v>
      </c>
    </row>
    <row r="6" spans="2:6" x14ac:dyDescent="0.2">
      <c r="B6" s="11" t="s">
        <v>30</v>
      </c>
      <c r="C6" s="15" t="str">
        <f>D_Region</f>
        <v>Brussels</v>
      </c>
    </row>
    <row r="7" spans="2:6" x14ac:dyDescent="0.2">
      <c r="B7" s="11" t="s">
        <v>61</v>
      </c>
      <c r="C7" s="122" t="str">
        <f>D_Type</f>
        <v>Principal</v>
      </c>
    </row>
    <row r="8" spans="2:6" x14ac:dyDescent="0.2">
      <c r="B8" s="12"/>
      <c r="C8" s="123"/>
    </row>
    <row r="9" spans="2:6" ht="15.75" x14ac:dyDescent="0.2">
      <c r="B9" s="7"/>
    </row>
    <row r="10" spans="2:6" ht="13.5" thickBot="1" x14ac:dyDescent="0.25"/>
    <row r="11" spans="2:6" ht="15.75" x14ac:dyDescent="0.2">
      <c r="B11" s="88" t="s">
        <v>44</v>
      </c>
      <c r="C11" s="89"/>
      <c r="D11" s="89"/>
      <c r="E11" s="104"/>
      <c r="F11" s="90"/>
    </row>
    <row r="12" spans="2:6" x14ac:dyDescent="0.2">
      <c r="B12" s="91"/>
      <c r="C12" s="26"/>
      <c r="D12" s="26"/>
      <c r="E12" s="105"/>
      <c r="F12" s="92"/>
    </row>
    <row r="13" spans="2:6" x14ac:dyDescent="0.2">
      <c r="B13" s="91"/>
      <c r="C13" s="26"/>
      <c r="D13" s="8" t="s">
        <v>121</v>
      </c>
      <c r="E13" s="106"/>
      <c r="F13" s="92"/>
    </row>
    <row r="14" spans="2:6" ht="15" x14ac:dyDescent="0.2">
      <c r="B14" s="91"/>
      <c r="C14" s="93" t="s">
        <v>45</v>
      </c>
      <c r="D14" s="9">
        <f>VLOOKUP($C$5,Tariffs!D9:F11,3,FALSE)</f>
        <v>0.22009999999999999</v>
      </c>
      <c r="E14" s="107"/>
      <c r="F14" s="92"/>
    </row>
    <row r="15" spans="2:6" x14ac:dyDescent="0.2">
      <c r="B15" s="91"/>
      <c r="C15" s="26"/>
      <c r="D15" s="26"/>
      <c r="E15" s="105"/>
      <c r="F15" s="92"/>
    </row>
    <row r="16" spans="2:6" x14ac:dyDescent="0.2">
      <c r="B16" s="91"/>
      <c r="C16" s="26"/>
      <c r="D16" s="8" t="s">
        <v>122</v>
      </c>
      <c r="E16" s="106"/>
      <c r="F16" s="92"/>
    </row>
    <row r="17" spans="2:8" ht="15" x14ac:dyDescent="0.2">
      <c r="B17" s="91"/>
      <c r="C17" s="93" t="s">
        <v>46</v>
      </c>
      <c r="D17" s="9">
        <f>VLOOKUP($C$5,Tariffs!D16:F18,3,FALSE)</f>
        <v>5.5526999999999997</v>
      </c>
      <c r="E17" s="107"/>
      <c r="F17" s="92"/>
      <c r="H17" s="94"/>
    </row>
    <row r="18" spans="2:8" x14ac:dyDescent="0.2">
      <c r="B18" s="91"/>
      <c r="C18" s="26"/>
      <c r="D18" s="26"/>
      <c r="E18" s="105"/>
      <c r="F18" s="92"/>
      <c r="H18" s="94"/>
    </row>
    <row r="19" spans="2:8" x14ac:dyDescent="0.2">
      <c r="B19" s="91"/>
      <c r="C19" s="26"/>
      <c r="D19" s="8" t="s">
        <v>50</v>
      </c>
      <c r="E19" s="106"/>
      <c r="F19" s="92"/>
      <c r="H19" s="94"/>
    </row>
    <row r="20" spans="2:8" ht="15" x14ac:dyDescent="0.2">
      <c r="B20" s="91"/>
      <c r="C20" s="93" t="s">
        <v>47</v>
      </c>
      <c r="D20" s="9">
        <f>IF($C$7="Principal",VLOOKUP($C$5,Tariffs!D24:G26,3,FALSE),VLOOKUP($C$5,Tariffs!D24:H26,4,FALSE))</f>
        <v>4.7011000000000003</v>
      </c>
      <c r="E20" s="107"/>
      <c r="F20" s="92"/>
      <c r="H20" s="94"/>
    </row>
    <row r="21" spans="2:8" ht="13.5" thickBot="1" x14ac:dyDescent="0.25">
      <c r="B21" s="95"/>
      <c r="C21" s="96"/>
      <c r="D21" s="96"/>
      <c r="E21" s="108"/>
      <c r="F21" s="97"/>
      <c r="G21" s="94"/>
      <c r="H21" s="94"/>
    </row>
    <row r="22" spans="2:8" ht="15.75" x14ac:dyDescent="0.2">
      <c r="B22" s="88" t="s">
        <v>51</v>
      </c>
      <c r="C22" s="89"/>
      <c r="D22" s="89"/>
      <c r="E22" s="104"/>
      <c r="F22" s="90"/>
      <c r="G22" s="94"/>
      <c r="H22" s="94"/>
    </row>
    <row r="23" spans="2:8" ht="15.75" x14ac:dyDescent="0.2">
      <c r="B23" s="98"/>
      <c r="C23" s="26"/>
      <c r="D23" s="8" t="s">
        <v>123</v>
      </c>
      <c r="E23" s="106"/>
      <c r="F23" s="92"/>
      <c r="G23" s="94"/>
      <c r="H23" s="94"/>
    </row>
    <row r="24" spans="2:8" x14ac:dyDescent="0.2">
      <c r="B24" s="91"/>
      <c r="C24" s="26"/>
      <c r="D24" s="9">
        <f>VLOOKUP($C$5,Tariffs!D32:F34,3,FALSE)</f>
        <v>0.91959999999999997</v>
      </c>
      <c r="E24" s="107"/>
      <c r="F24" s="92"/>
      <c r="G24" s="94"/>
      <c r="H24" s="94"/>
    </row>
    <row r="25" spans="2:8" ht="13.5" thickBot="1" x14ac:dyDescent="0.25">
      <c r="B25" s="95"/>
      <c r="C25" s="96"/>
      <c r="D25" s="96"/>
      <c r="E25" s="108"/>
      <c r="F25" s="97"/>
      <c r="H25" s="94"/>
    </row>
    <row r="26" spans="2:8" ht="15.75" x14ac:dyDescent="0.2">
      <c r="B26" s="88" t="s">
        <v>84</v>
      </c>
      <c r="C26" s="89"/>
      <c r="D26" s="89"/>
      <c r="E26" s="104"/>
      <c r="F26" s="90"/>
      <c r="G26" s="94"/>
      <c r="H26" s="94"/>
    </row>
    <row r="27" spans="2:8" x14ac:dyDescent="0.2">
      <c r="B27" s="91"/>
      <c r="C27" s="26"/>
      <c r="D27" s="8" t="s">
        <v>123</v>
      </c>
      <c r="E27" s="106"/>
      <c r="F27" s="92"/>
      <c r="G27" s="94"/>
      <c r="H27" s="94"/>
    </row>
    <row r="28" spans="2:8" ht="15" x14ac:dyDescent="0.2">
      <c r="B28" s="91"/>
      <c r="C28" s="99" t="s">
        <v>52</v>
      </c>
      <c r="D28" s="9">
        <f>VLOOKUP($C$5,Tariffs!D41:F43,3,FALSE)</f>
        <v>0.72540000000000004</v>
      </c>
      <c r="E28" s="107"/>
      <c r="F28" s="92"/>
      <c r="G28" s="94"/>
      <c r="H28" s="94"/>
    </row>
    <row r="29" spans="2:8" x14ac:dyDescent="0.2">
      <c r="B29" s="91"/>
      <c r="C29" s="26"/>
      <c r="D29" s="26"/>
      <c r="E29" s="105"/>
      <c r="F29" s="92"/>
      <c r="G29" s="94"/>
      <c r="H29" s="94"/>
    </row>
    <row r="30" spans="2:8" x14ac:dyDescent="0.2">
      <c r="B30" s="91"/>
      <c r="C30" s="26"/>
      <c r="D30" s="8" t="s">
        <v>124</v>
      </c>
      <c r="E30" s="106"/>
      <c r="F30" s="92"/>
      <c r="G30" s="94"/>
      <c r="H30" s="94"/>
    </row>
    <row r="31" spans="2:8" ht="15" x14ac:dyDescent="0.2">
      <c r="B31" s="91"/>
      <c r="C31" s="99" t="s">
        <v>53</v>
      </c>
      <c r="D31" s="9">
        <f>VLOOKUP($C$5,Tariffs!D47:F49,3,FALSE)</f>
        <v>0.6169</v>
      </c>
      <c r="E31" s="107"/>
      <c r="F31" s="92"/>
      <c r="G31" s="94"/>
      <c r="H31" s="94"/>
    </row>
    <row r="32" spans="2:8" ht="13.5" thickBot="1" x14ac:dyDescent="0.25">
      <c r="B32" s="95"/>
      <c r="C32" s="96"/>
      <c r="D32" s="96"/>
      <c r="E32" s="108"/>
      <c r="F32" s="97"/>
      <c r="G32" s="94"/>
      <c r="H32" s="94"/>
    </row>
    <row r="33" spans="2:8" ht="15.75" x14ac:dyDescent="0.2">
      <c r="B33" s="88" t="s">
        <v>54</v>
      </c>
      <c r="C33" s="89"/>
      <c r="D33" s="89"/>
      <c r="E33" s="104"/>
      <c r="F33" s="90"/>
      <c r="G33" s="94"/>
      <c r="H33" s="94"/>
    </row>
    <row r="34" spans="2:8" x14ac:dyDescent="0.2">
      <c r="B34" s="91"/>
      <c r="C34" s="26"/>
      <c r="D34" s="8" t="s">
        <v>123</v>
      </c>
      <c r="E34" s="106"/>
      <c r="F34" s="92"/>
      <c r="G34" s="94"/>
      <c r="H34" s="94"/>
    </row>
    <row r="35" spans="2:8" x14ac:dyDescent="0.2">
      <c r="B35" s="91"/>
      <c r="C35" s="26"/>
      <c r="D35" s="9">
        <f>VLOOKUP($C$5,Tariffs!D54:F56,3,FALSE)</f>
        <v>0.37190000000000001</v>
      </c>
      <c r="E35" s="107"/>
      <c r="F35" s="92"/>
      <c r="G35" s="94"/>
      <c r="H35" s="94"/>
    </row>
    <row r="36" spans="2:8" ht="13.5" thickBot="1" x14ac:dyDescent="0.25">
      <c r="B36" s="95"/>
      <c r="C36" s="96"/>
      <c r="D36" s="96"/>
      <c r="E36" s="108"/>
      <c r="F36" s="97"/>
      <c r="G36" s="94"/>
      <c r="H36" s="94"/>
    </row>
    <row r="37" spans="2:8" ht="15.75" x14ac:dyDescent="0.2">
      <c r="B37" s="88" t="s">
        <v>82</v>
      </c>
      <c r="C37" s="89"/>
      <c r="D37" s="89"/>
      <c r="E37" s="104"/>
      <c r="F37" s="90"/>
      <c r="G37" s="94"/>
      <c r="H37" s="94"/>
    </row>
    <row r="38" spans="2:8" x14ac:dyDescent="0.2">
      <c r="B38" s="91"/>
      <c r="C38" s="26"/>
      <c r="D38" s="8" t="s">
        <v>123</v>
      </c>
      <c r="E38" s="106"/>
      <c r="F38" s="92"/>
      <c r="G38" s="94"/>
      <c r="H38" s="94"/>
    </row>
    <row r="39" spans="2:8" ht="30" x14ac:dyDescent="0.2">
      <c r="B39" s="91"/>
      <c r="C39" s="99" t="s">
        <v>179</v>
      </c>
      <c r="D39" s="9">
        <f>IF($C$6="Flanders",VLOOKUP($C$5,Tariffs!D63:F65,3,FALSE),0)</f>
        <v>0</v>
      </c>
      <c r="E39" s="107"/>
      <c r="F39" s="92"/>
      <c r="G39" s="10"/>
      <c r="H39" s="94"/>
    </row>
    <row r="40" spans="2:8" x14ac:dyDescent="0.2">
      <c r="B40" s="91"/>
      <c r="C40" s="26"/>
      <c r="D40" s="26"/>
      <c r="E40" s="105"/>
      <c r="F40" s="92"/>
      <c r="H40" s="94"/>
    </row>
    <row r="41" spans="2:8" x14ac:dyDescent="0.2">
      <c r="B41" s="91"/>
      <c r="C41" s="26"/>
      <c r="D41" s="8" t="s">
        <v>123</v>
      </c>
      <c r="E41" s="106"/>
      <c r="F41" s="92"/>
      <c r="H41" s="94"/>
    </row>
    <row r="42" spans="2:8" ht="30" x14ac:dyDescent="0.2">
      <c r="B42" s="91"/>
      <c r="C42" s="99" t="s">
        <v>180</v>
      </c>
      <c r="D42" s="9">
        <f>IF($C$6="Flanders",VLOOKUP($C$5,Tariffs!D70:F72,3,FALSE),0)</f>
        <v>0</v>
      </c>
      <c r="E42" s="107"/>
      <c r="F42" s="92"/>
      <c r="H42" s="94"/>
    </row>
    <row r="43" spans="2:8" x14ac:dyDescent="0.2">
      <c r="B43" s="91"/>
      <c r="C43" s="26"/>
      <c r="D43" s="26"/>
      <c r="E43" s="105"/>
      <c r="F43" s="92"/>
      <c r="H43" s="94"/>
    </row>
    <row r="44" spans="2:8" x14ac:dyDescent="0.2">
      <c r="B44" s="91"/>
      <c r="C44" s="26"/>
      <c r="D44" s="109" t="s">
        <v>55</v>
      </c>
      <c r="E44" s="109" t="s">
        <v>56</v>
      </c>
      <c r="F44" s="92"/>
      <c r="H44" s="94"/>
    </row>
    <row r="45" spans="2:8" x14ac:dyDescent="0.2">
      <c r="B45" s="91"/>
      <c r="C45" s="26"/>
      <c r="D45" s="8" t="s">
        <v>123</v>
      </c>
      <c r="E45" s="8" t="s">
        <v>57</v>
      </c>
      <c r="F45" s="92"/>
      <c r="H45" s="94"/>
    </row>
    <row r="46" spans="2:8" ht="30" x14ac:dyDescent="0.2">
      <c r="B46" s="91"/>
      <c r="C46" s="99" t="s">
        <v>181</v>
      </c>
      <c r="D46" s="9">
        <f>IF($C$6="Wallonia",VLOOKUP($C$5,Tariffs!D78:F80,3,FALSE),0)</f>
        <v>0</v>
      </c>
      <c r="E46" s="9">
        <f>IF($C$6="Wallonia",VLOOKUP($C$5,Tariffs!D78:G80,4,FALSE),0)</f>
        <v>0</v>
      </c>
      <c r="F46" s="92"/>
      <c r="H46" s="94"/>
    </row>
    <row r="47" spans="2:8" ht="13.5" thickBot="1" x14ac:dyDescent="0.25">
      <c r="B47" s="95"/>
      <c r="C47" s="96"/>
      <c r="D47" s="96"/>
      <c r="E47" s="108"/>
      <c r="F47" s="97"/>
      <c r="H47" s="94"/>
    </row>
    <row r="48" spans="2:8" ht="15.75" x14ac:dyDescent="0.2">
      <c r="B48" s="88" t="s">
        <v>83</v>
      </c>
      <c r="C48" s="89"/>
      <c r="D48" s="89"/>
      <c r="E48" s="104"/>
      <c r="F48" s="90"/>
      <c r="H48" s="94"/>
    </row>
    <row r="49" spans="2:8" x14ac:dyDescent="0.2">
      <c r="B49" s="91"/>
      <c r="C49" s="26"/>
      <c r="D49" s="8" t="s">
        <v>123</v>
      </c>
      <c r="E49" s="106"/>
      <c r="F49" s="92"/>
      <c r="H49" s="94"/>
    </row>
    <row r="50" spans="2:8" ht="15" x14ac:dyDescent="0.2">
      <c r="B50" s="91"/>
      <c r="C50" s="93" t="s">
        <v>182</v>
      </c>
      <c r="D50" s="9">
        <f>IF($C$6="Wallonia",VLOOKUP($C$5,Tariffs!D86:F88,3,FALSE),0)</f>
        <v>0</v>
      </c>
      <c r="E50" s="107"/>
      <c r="F50" s="92"/>
      <c r="H50" s="94"/>
    </row>
    <row r="51" spans="2:8" ht="15" x14ac:dyDescent="0.2">
      <c r="B51" s="91"/>
      <c r="C51" s="93"/>
      <c r="D51" s="26"/>
      <c r="E51" s="105"/>
      <c r="F51" s="92"/>
      <c r="H51" s="94"/>
    </row>
    <row r="52" spans="2:8" x14ac:dyDescent="0.2">
      <c r="B52" s="91"/>
      <c r="C52" s="26"/>
      <c r="D52" s="8" t="s">
        <v>123</v>
      </c>
      <c r="E52" s="106"/>
      <c r="F52" s="92"/>
      <c r="H52" s="94"/>
    </row>
    <row r="53" spans="2:8" ht="15" x14ac:dyDescent="0.2">
      <c r="B53" s="91"/>
      <c r="C53" s="93" t="s">
        <v>183</v>
      </c>
      <c r="D53" s="9">
        <f>IF($C$6="Brussels",VLOOKUP($C$5,Tariffs!D93:F95,3,FALSE),0)</f>
        <v>3.6034999999999999</v>
      </c>
      <c r="E53" s="107"/>
      <c r="F53" s="92"/>
      <c r="H53" s="94"/>
    </row>
    <row r="54" spans="2:8" x14ac:dyDescent="0.2">
      <c r="B54" s="91"/>
      <c r="C54" s="26"/>
      <c r="D54" s="26"/>
      <c r="E54" s="105"/>
      <c r="F54" s="92"/>
      <c r="H54" s="94"/>
    </row>
    <row r="55" spans="2:8" x14ac:dyDescent="0.2">
      <c r="B55" s="91"/>
      <c r="C55" s="26"/>
      <c r="D55" s="8" t="s">
        <v>123</v>
      </c>
      <c r="E55" s="106"/>
      <c r="F55" s="92"/>
      <c r="H55" s="94"/>
    </row>
    <row r="56" spans="2:8" ht="15" x14ac:dyDescent="0.2">
      <c r="B56" s="91"/>
      <c r="C56" s="99" t="s">
        <v>184</v>
      </c>
      <c r="D56" s="9">
        <f>IF($C$6="Flanders",VLOOKUP($C$5,Tariffs!D100:F102,3,FALSE),0)</f>
        <v>0</v>
      </c>
      <c r="E56" s="107"/>
      <c r="F56" s="92"/>
      <c r="G56" s="10"/>
      <c r="H56" s="94"/>
    </row>
    <row r="57" spans="2:8" ht="13.5" thickBot="1" x14ac:dyDescent="0.25">
      <c r="B57" s="95"/>
      <c r="C57" s="96"/>
      <c r="D57" s="96"/>
      <c r="E57" s="108"/>
      <c r="F57" s="97"/>
      <c r="H57" s="94"/>
    </row>
    <row r="58" spans="2:8" x14ac:dyDescent="0.2">
      <c r="H58" s="94"/>
    </row>
    <row r="59" spans="2:8" x14ac:dyDescent="0.2">
      <c r="G59" s="94"/>
      <c r="H59" s="94"/>
    </row>
    <row r="60" spans="2:8" x14ac:dyDescent="0.2">
      <c r="G60" s="94"/>
      <c r="H60" s="94"/>
    </row>
  </sheetData>
  <sheetProtection algorithmName="SHA-512" hashValue="q4+xdVFiQnPLiDccOV5EwLwSdG1W/1RUTCqT+E6nc+rOpQIIyoIYtQZs1DY8sx98dWDSBHeCk+9ODSIRrqFrxA==" saltValue="QBmPOe2KK4juCCfvlhCUKw==" spinCount="100000" sheet="1" objects="1" scenarios="1"/>
  <dataValidations count="1">
    <dataValidation type="decimal" allowBlank="1" showInputMessage="1" showErrorMessage="1" error="Valeur comprise entre 1 et 3" sqref="C2:C4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pageSetup paperSize="8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40"/>
  <sheetViews>
    <sheetView showGridLines="0" workbookViewId="0"/>
  </sheetViews>
  <sheetFormatPr defaultColWidth="11.42578125" defaultRowHeight="12.75" x14ac:dyDescent="0.2"/>
  <cols>
    <col min="1" max="1" width="3.140625" style="28" customWidth="1"/>
    <col min="2" max="2" width="4.7109375" style="17" customWidth="1"/>
    <col min="3" max="3" width="5.7109375" style="17" customWidth="1"/>
    <col min="4" max="4" width="11.140625" style="17" customWidth="1"/>
    <col min="5" max="5" width="16.85546875" style="17" customWidth="1"/>
    <col min="6" max="6" width="19.5703125" style="17" customWidth="1"/>
    <col min="7" max="7" width="6.85546875" style="32" customWidth="1"/>
    <col min="8" max="8" width="11.28515625" style="17" customWidth="1"/>
    <col min="9" max="9" width="11.42578125" style="32" customWidth="1"/>
    <col min="10" max="10" width="21.140625" style="17" customWidth="1"/>
    <col min="11" max="11" width="3.5703125" style="32" customWidth="1"/>
    <col min="12" max="12" width="3.140625" style="17" customWidth="1"/>
    <col min="13" max="13" width="13.5703125" style="17" customWidth="1"/>
    <col min="14" max="14" width="8.42578125" style="17" customWidth="1"/>
    <col min="15" max="16384" width="11.42578125" style="17"/>
  </cols>
  <sheetData>
    <row r="1" spans="2:12" x14ac:dyDescent="0.2">
      <c r="F1" s="29"/>
      <c r="G1" s="30"/>
      <c r="H1" s="30"/>
      <c r="I1" s="30"/>
      <c r="J1" s="30"/>
      <c r="K1" s="30"/>
      <c r="L1" s="30"/>
    </row>
    <row r="2" spans="2:12" ht="15.75" x14ac:dyDescent="0.25">
      <c r="B2" s="31" t="s">
        <v>17</v>
      </c>
      <c r="H2" s="32"/>
      <c r="J2" s="32"/>
      <c r="L2" s="32"/>
    </row>
    <row r="3" spans="2:12" ht="15.75" x14ac:dyDescent="0.25">
      <c r="B3" s="31"/>
    </row>
    <row r="4" spans="2:12" ht="15.75" x14ac:dyDescent="0.25">
      <c r="B4" s="31"/>
      <c r="D4" s="33"/>
      <c r="E4" s="80" t="s">
        <v>32</v>
      </c>
      <c r="F4" s="34" t="s">
        <v>16</v>
      </c>
      <c r="G4" s="35"/>
      <c r="H4" s="36"/>
      <c r="I4" s="35"/>
      <c r="J4" s="37"/>
    </row>
    <row r="5" spans="2:12" ht="15.75" x14ac:dyDescent="0.25">
      <c r="B5" s="31"/>
      <c r="D5" s="38"/>
      <c r="E5" s="79" t="s">
        <v>31</v>
      </c>
      <c r="F5" s="39" t="str">
        <f>D_Tension</f>
        <v>On the 380/220/150 kV network</v>
      </c>
      <c r="G5" s="40"/>
      <c r="H5" s="41"/>
      <c r="I5" s="40"/>
      <c r="J5" s="42"/>
    </row>
    <row r="6" spans="2:12" ht="15.75" x14ac:dyDescent="0.25">
      <c r="B6" s="31"/>
      <c r="D6" s="38"/>
      <c r="E6" s="79" t="s">
        <v>30</v>
      </c>
      <c r="F6" s="39" t="str">
        <f>D_Region</f>
        <v>Brussels</v>
      </c>
      <c r="G6" s="40"/>
      <c r="H6" s="41"/>
      <c r="I6" s="40"/>
      <c r="J6" s="42"/>
    </row>
    <row r="7" spans="2:12" ht="15.75" x14ac:dyDescent="0.25">
      <c r="B7" s="31"/>
      <c r="D7" s="124"/>
      <c r="E7" s="125" t="s">
        <v>61</v>
      </c>
      <c r="F7" s="43" t="str">
        <f>D_Type</f>
        <v>Principal</v>
      </c>
      <c r="G7" s="126"/>
      <c r="H7" s="127"/>
      <c r="I7" s="126"/>
      <c r="J7" s="128"/>
    </row>
    <row r="8" spans="2:12" ht="15.75" x14ac:dyDescent="0.25">
      <c r="B8" s="31"/>
      <c r="D8" s="110"/>
      <c r="E8" s="111" t="s">
        <v>79</v>
      </c>
      <c r="F8" s="112" t="str">
        <f>D_DA</f>
        <v>No</v>
      </c>
      <c r="G8" s="113"/>
      <c r="H8" s="114"/>
      <c r="I8" s="113"/>
      <c r="J8" s="115"/>
    </row>
    <row r="9" spans="2:12" ht="15.75" x14ac:dyDescent="0.25">
      <c r="B9" s="31"/>
      <c r="D9" s="116"/>
      <c r="E9" s="117" t="s">
        <v>80</v>
      </c>
      <c r="F9" s="118" t="str">
        <f>D_TA</f>
        <v>Other</v>
      </c>
      <c r="G9" s="119"/>
      <c r="H9" s="120"/>
      <c r="I9" s="119"/>
      <c r="J9" s="121"/>
    </row>
    <row r="13" spans="2:12" x14ac:dyDescent="0.2">
      <c r="B13" s="17" t="s">
        <v>85</v>
      </c>
    </row>
    <row r="15" spans="2:12" x14ac:dyDescent="0.2">
      <c r="C15" s="17" t="s">
        <v>95</v>
      </c>
      <c r="F15" s="49"/>
      <c r="H15" s="50"/>
      <c r="J15" s="56"/>
    </row>
    <row r="16" spans="2:12" x14ac:dyDescent="0.2">
      <c r="F16" s="49"/>
      <c r="H16" s="50"/>
      <c r="J16" s="56"/>
    </row>
    <row r="17" spans="5:11" x14ac:dyDescent="0.2">
      <c r="F17" s="60" t="s">
        <v>86</v>
      </c>
      <c r="H17" s="136" t="s">
        <v>87</v>
      </c>
      <c r="J17" s="61" t="s">
        <v>88</v>
      </c>
    </row>
    <row r="18" spans="5:11" x14ac:dyDescent="0.2">
      <c r="E18" s="62" t="s">
        <v>67</v>
      </c>
      <c r="F18" s="46">
        <f>Data!F25</f>
        <v>0</v>
      </c>
      <c r="G18" s="23" t="s">
        <v>0</v>
      </c>
      <c r="H18" s="47">
        <f>'Results I'!$D$14</f>
        <v>0.22009999999999999</v>
      </c>
      <c r="I18" s="23" t="s">
        <v>1</v>
      </c>
      <c r="J18" s="48">
        <f>F18*H18*1000</f>
        <v>0</v>
      </c>
      <c r="K18" s="24" t="s">
        <v>2</v>
      </c>
    </row>
    <row r="19" spans="5:11" x14ac:dyDescent="0.2">
      <c r="E19" s="62" t="s">
        <v>68</v>
      </c>
      <c r="F19" s="51">
        <f>Data!F26</f>
        <v>0</v>
      </c>
      <c r="G19" s="52" t="s">
        <v>0</v>
      </c>
      <c r="H19" s="53">
        <f>H18</f>
        <v>0.22009999999999999</v>
      </c>
      <c r="I19" s="52" t="s">
        <v>1</v>
      </c>
      <c r="J19" s="54">
        <f t="shared" ref="J19:J29" si="0">F19*H19*1000</f>
        <v>0</v>
      </c>
      <c r="K19" s="55" t="s">
        <v>2</v>
      </c>
    </row>
    <row r="20" spans="5:11" x14ac:dyDescent="0.2">
      <c r="E20" s="62" t="s">
        <v>69</v>
      </c>
      <c r="F20" s="46">
        <f>Data!F27</f>
        <v>0</v>
      </c>
      <c r="G20" s="23" t="s">
        <v>0</v>
      </c>
      <c r="H20" s="47">
        <f t="shared" ref="H20:H29" si="1">H19</f>
        <v>0.22009999999999999</v>
      </c>
      <c r="I20" s="23" t="s">
        <v>1</v>
      </c>
      <c r="J20" s="48">
        <f t="shared" si="0"/>
        <v>0</v>
      </c>
      <c r="K20" s="24" t="s">
        <v>2</v>
      </c>
    </row>
    <row r="21" spans="5:11" x14ac:dyDescent="0.2">
      <c r="E21" s="62" t="s">
        <v>70</v>
      </c>
      <c r="F21" s="51">
        <f>Data!F28</f>
        <v>0</v>
      </c>
      <c r="G21" s="52" t="s">
        <v>0</v>
      </c>
      <c r="H21" s="53">
        <f t="shared" si="1"/>
        <v>0.22009999999999999</v>
      </c>
      <c r="I21" s="52" t="s">
        <v>1</v>
      </c>
      <c r="J21" s="54">
        <f t="shared" si="0"/>
        <v>0</v>
      </c>
      <c r="K21" s="55" t="s">
        <v>2</v>
      </c>
    </row>
    <row r="22" spans="5:11" x14ac:dyDescent="0.2">
      <c r="E22" s="62" t="s">
        <v>71</v>
      </c>
      <c r="F22" s="46">
        <f>Data!F29</f>
        <v>0</v>
      </c>
      <c r="G22" s="23" t="s">
        <v>0</v>
      </c>
      <c r="H22" s="47">
        <f t="shared" si="1"/>
        <v>0.22009999999999999</v>
      </c>
      <c r="I22" s="23" t="s">
        <v>1</v>
      </c>
      <c r="J22" s="48">
        <f t="shared" si="0"/>
        <v>0</v>
      </c>
      <c r="K22" s="24" t="s">
        <v>2</v>
      </c>
    </row>
    <row r="23" spans="5:11" x14ac:dyDescent="0.2">
      <c r="E23" s="62" t="s">
        <v>72</v>
      </c>
      <c r="F23" s="51">
        <f>Data!F30</f>
        <v>0</v>
      </c>
      <c r="G23" s="52" t="s">
        <v>0</v>
      </c>
      <c r="H23" s="53">
        <f t="shared" si="1"/>
        <v>0.22009999999999999</v>
      </c>
      <c r="I23" s="52" t="s">
        <v>1</v>
      </c>
      <c r="J23" s="54">
        <f t="shared" si="0"/>
        <v>0</v>
      </c>
      <c r="K23" s="55" t="s">
        <v>2</v>
      </c>
    </row>
    <row r="24" spans="5:11" x14ac:dyDescent="0.2">
      <c r="E24" s="62" t="s">
        <v>73</v>
      </c>
      <c r="F24" s="46">
        <f>Data!F31</f>
        <v>0</v>
      </c>
      <c r="G24" s="23" t="s">
        <v>0</v>
      </c>
      <c r="H24" s="47">
        <f t="shared" si="1"/>
        <v>0.22009999999999999</v>
      </c>
      <c r="I24" s="23" t="s">
        <v>1</v>
      </c>
      <c r="J24" s="48">
        <f t="shared" si="0"/>
        <v>0</v>
      </c>
      <c r="K24" s="24" t="s">
        <v>2</v>
      </c>
    </row>
    <row r="25" spans="5:11" x14ac:dyDescent="0.2">
      <c r="E25" s="62" t="s">
        <v>74</v>
      </c>
      <c r="F25" s="51">
        <f>Data!F32</f>
        <v>0</v>
      </c>
      <c r="G25" s="52" t="s">
        <v>0</v>
      </c>
      <c r="H25" s="53">
        <f t="shared" si="1"/>
        <v>0.22009999999999999</v>
      </c>
      <c r="I25" s="52" t="s">
        <v>1</v>
      </c>
      <c r="J25" s="54">
        <f t="shared" si="0"/>
        <v>0</v>
      </c>
      <c r="K25" s="55" t="s">
        <v>2</v>
      </c>
    </row>
    <row r="26" spans="5:11" x14ac:dyDescent="0.2">
      <c r="E26" s="62" t="s">
        <v>75</v>
      </c>
      <c r="F26" s="46">
        <f>Data!F33</f>
        <v>0</v>
      </c>
      <c r="G26" s="23" t="s">
        <v>0</v>
      </c>
      <c r="H26" s="47">
        <f t="shared" si="1"/>
        <v>0.22009999999999999</v>
      </c>
      <c r="I26" s="23" t="s">
        <v>1</v>
      </c>
      <c r="J26" s="48">
        <f t="shared" si="0"/>
        <v>0</v>
      </c>
      <c r="K26" s="24" t="s">
        <v>2</v>
      </c>
    </row>
    <row r="27" spans="5:11" x14ac:dyDescent="0.2">
      <c r="E27" s="62" t="s">
        <v>76</v>
      </c>
      <c r="F27" s="51">
        <f>Data!F34</f>
        <v>0</v>
      </c>
      <c r="G27" s="52" t="s">
        <v>0</v>
      </c>
      <c r="H27" s="53">
        <f t="shared" si="1"/>
        <v>0.22009999999999999</v>
      </c>
      <c r="I27" s="52" t="s">
        <v>1</v>
      </c>
      <c r="J27" s="54">
        <f t="shared" si="0"/>
        <v>0</v>
      </c>
      <c r="K27" s="55" t="s">
        <v>2</v>
      </c>
    </row>
    <row r="28" spans="5:11" x14ac:dyDescent="0.2">
      <c r="E28" s="62" t="s">
        <v>77</v>
      </c>
      <c r="F28" s="46">
        <f>Data!F35</f>
        <v>0</v>
      </c>
      <c r="G28" s="23" t="s">
        <v>0</v>
      </c>
      <c r="H28" s="47">
        <f t="shared" si="1"/>
        <v>0.22009999999999999</v>
      </c>
      <c r="I28" s="23" t="s">
        <v>1</v>
      </c>
      <c r="J28" s="48">
        <f t="shared" si="0"/>
        <v>0</v>
      </c>
      <c r="K28" s="24" t="s">
        <v>2</v>
      </c>
    </row>
    <row r="29" spans="5:11" x14ac:dyDescent="0.2">
      <c r="E29" s="62" t="s">
        <v>78</v>
      </c>
      <c r="F29" s="51">
        <f>Data!F36</f>
        <v>0</v>
      </c>
      <c r="G29" s="52" t="s">
        <v>0</v>
      </c>
      <c r="H29" s="53">
        <f t="shared" si="1"/>
        <v>0.22009999999999999</v>
      </c>
      <c r="I29" s="52" t="s">
        <v>1</v>
      </c>
      <c r="J29" s="54">
        <f t="shared" si="0"/>
        <v>0</v>
      </c>
      <c r="K29" s="55" t="s">
        <v>2</v>
      </c>
    </row>
    <row r="30" spans="5:11" ht="13.5" thickBot="1" x14ac:dyDescent="0.25">
      <c r="F30" s="49"/>
      <c r="H30" s="50"/>
      <c r="J30" s="56"/>
    </row>
    <row r="31" spans="5:11" ht="13.5" thickBot="1" x14ac:dyDescent="0.25">
      <c r="F31" s="49"/>
      <c r="H31" s="50"/>
      <c r="I31" s="57" t="s">
        <v>96</v>
      </c>
      <c r="J31" s="63">
        <f>SUM(J18:J29)</f>
        <v>0</v>
      </c>
      <c r="K31" s="64" t="s">
        <v>2</v>
      </c>
    </row>
    <row r="32" spans="5:11" x14ac:dyDescent="0.2">
      <c r="F32" s="49"/>
      <c r="H32" s="50"/>
      <c r="I32" s="57"/>
      <c r="J32" s="57"/>
      <c r="K32" s="57"/>
    </row>
    <row r="33" spans="3:11" x14ac:dyDescent="0.2">
      <c r="F33" s="49"/>
      <c r="H33" s="50"/>
      <c r="I33" s="57"/>
      <c r="J33" s="57"/>
      <c r="K33" s="57"/>
    </row>
    <row r="34" spans="3:11" x14ac:dyDescent="0.2">
      <c r="C34" s="17" t="s">
        <v>97</v>
      </c>
      <c r="F34" s="49"/>
      <c r="H34" s="50"/>
      <c r="J34" s="56"/>
    </row>
    <row r="35" spans="3:11" x14ac:dyDescent="0.2">
      <c r="F35" s="49"/>
      <c r="H35" s="50"/>
      <c r="J35" s="56"/>
    </row>
    <row r="36" spans="3:11" x14ac:dyDescent="0.2">
      <c r="F36" s="60" t="s">
        <v>34</v>
      </c>
      <c r="H36" s="136" t="s">
        <v>87</v>
      </c>
      <c r="J36" s="61" t="s">
        <v>88</v>
      </c>
    </row>
    <row r="37" spans="3:11" x14ac:dyDescent="0.2">
      <c r="E37" s="62" t="s">
        <v>67</v>
      </c>
      <c r="F37" s="46">
        <f>Data!I25</f>
        <v>0</v>
      </c>
      <c r="G37" s="23" t="s">
        <v>0</v>
      </c>
      <c r="H37" s="47">
        <f>'Results I'!$D$17/12</f>
        <v>0.462725</v>
      </c>
      <c r="I37" s="23" t="s">
        <v>1</v>
      </c>
      <c r="J37" s="48">
        <f t="shared" ref="J37:J48" si="2">F37*H37*1000</f>
        <v>0</v>
      </c>
      <c r="K37" s="24" t="s">
        <v>2</v>
      </c>
    </row>
    <row r="38" spans="3:11" x14ac:dyDescent="0.2">
      <c r="E38" s="62" t="s">
        <v>68</v>
      </c>
      <c r="F38" s="51">
        <f>Data!I26</f>
        <v>0</v>
      </c>
      <c r="G38" s="52" t="s">
        <v>0</v>
      </c>
      <c r="H38" s="53">
        <f>H37</f>
        <v>0.462725</v>
      </c>
      <c r="I38" s="52" t="s">
        <v>1</v>
      </c>
      <c r="J38" s="54">
        <f t="shared" si="2"/>
        <v>0</v>
      </c>
      <c r="K38" s="55" t="s">
        <v>2</v>
      </c>
    </row>
    <row r="39" spans="3:11" x14ac:dyDescent="0.2">
      <c r="E39" s="62" t="s">
        <v>69</v>
      </c>
      <c r="F39" s="46">
        <f>Data!I27</f>
        <v>0</v>
      </c>
      <c r="G39" s="23" t="s">
        <v>0</v>
      </c>
      <c r="H39" s="47">
        <f t="shared" ref="H39:H48" si="3">H38</f>
        <v>0.462725</v>
      </c>
      <c r="I39" s="23" t="s">
        <v>1</v>
      </c>
      <c r="J39" s="48">
        <f t="shared" si="2"/>
        <v>0</v>
      </c>
      <c r="K39" s="24" t="s">
        <v>2</v>
      </c>
    </row>
    <row r="40" spans="3:11" x14ac:dyDescent="0.2">
      <c r="E40" s="62" t="s">
        <v>70</v>
      </c>
      <c r="F40" s="51">
        <f>Data!I28</f>
        <v>0</v>
      </c>
      <c r="G40" s="52" t="s">
        <v>0</v>
      </c>
      <c r="H40" s="53">
        <f t="shared" si="3"/>
        <v>0.462725</v>
      </c>
      <c r="I40" s="52" t="s">
        <v>1</v>
      </c>
      <c r="J40" s="54">
        <f t="shared" si="2"/>
        <v>0</v>
      </c>
      <c r="K40" s="55" t="s">
        <v>2</v>
      </c>
    </row>
    <row r="41" spans="3:11" x14ac:dyDescent="0.2">
      <c r="E41" s="62" t="s">
        <v>71</v>
      </c>
      <c r="F41" s="46">
        <f>Data!I29</f>
        <v>0</v>
      </c>
      <c r="G41" s="23" t="s">
        <v>0</v>
      </c>
      <c r="H41" s="47">
        <f t="shared" si="3"/>
        <v>0.462725</v>
      </c>
      <c r="I41" s="23" t="s">
        <v>1</v>
      </c>
      <c r="J41" s="48">
        <f t="shared" si="2"/>
        <v>0</v>
      </c>
      <c r="K41" s="24" t="s">
        <v>2</v>
      </c>
    </row>
    <row r="42" spans="3:11" x14ac:dyDescent="0.2">
      <c r="E42" s="62" t="s">
        <v>72</v>
      </c>
      <c r="F42" s="51">
        <f>Data!I30</f>
        <v>0</v>
      </c>
      <c r="G42" s="52" t="s">
        <v>0</v>
      </c>
      <c r="H42" s="53">
        <f t="shared" si="3"/>
        <v>0.462725</v>
      </c>
      <c r="I42" s="52" t="s">
        <v>1</v>
      </c>
      <c r="J42" s="54">
        <f t="shared" si="2"/>
        <v>0</v>
      </c>
      <c r="K42" s="55" t="s">
        <v>2</v>
      </c>
    </row>
    <row r="43" spans="3:11" x14ac:dyDescent="0.2">
      <c r="E43" s="62" t="s">
        <v>73</v>
      </c>
      <c r="F43" s="46">
        <f>Data!I31</f>
        <v>0</v>
      </c>
      <c r="G43" s="23" t="s">
        <v>0</v>
      </c>
      <c r="H43" s="47">
        <f t="shared" si="3"/>
        <v>0.462725</v>
      </c>
      <c r="I43" s="23" t="s">
        <v>1</v>
      </c>
      <c r="J43" s="48">
        <f t="shared" si="2"/>
        <v>0</v>
      </c>
      <c r="K43" s="24" t="s">
        <v>2</v>
      </c>
    </row>
    <row r="44" spans="3:11" x14ac:dyDescent="0.2">
      <c r="E44" s="62" t="s">
        <v>74</v>
      </c>
      <c r="F44" s="51">
        <f>Data!I32</f>
        <v>0</v>
      </c>
      <c r="G44" s="52" t="s">
        <v>0</v>
      </c>
      <c r="H44" s="53">
        <f t="shared" si="3"/>
        <v>0.462725</v>
      </c>
      <c r="I44" s="52" t="s">
        <v>1</v>
      </c>
      <c r="J44" s="54">
        <f t="shared" si="2"/>
        <v>0</v>
      </c>
      <c r="K44" s="55" t="s">
        <v>2</v>
      </c>
    </row>
    <row r="45" spans="3:11" x14ac:dyDescent="0.2">
      <c r="E45" s="62" t="s">
        <v>75</v>
      </c>
      <c r="F45" s="46">
        <f>Data!I33</f>
        <v>0</v>
      </c>
      <c r="G45" s="23" t="s">
        <v>0</v>
      </c>
      <c r="H45" s="47">
        <f t="shared" si="3"/>
        <v>0.462725</v>
      </c>
      <c r="I45" s="23" t="s">
        <v>1</v>
      </c>
      <c r="J45" s="48">
        <f t="shared" si="2"/>
        <v>0</v>
      </c>
      <c r="K45" s="24" t="s">
        <v>2</v>
      </c>
    </row>
    <row r="46" spans="3:11" x14ac:dyDescent="0.2">
      <c r="E46" s="62" t="s">
        <v>76</v>
      </c>
      <c r="F46" s="51">
        <f>Data!I34</f>
        <v>0</v>
      </c>
      <c r="G46" s="52" t="s">
        <v>0</v>
      </c>
      <c r="H46" s="53">
        <f t="shared" si="3"/>
        <v>0.462725</v>
      </c>
      <c r="I46" s="52" t="s">
        <v>1</v>
      </c>
      <c r="J46" s="54">
        <f t="shared" si="2"/>
        <v>0</v>
      </c>
      <c r="K46" s="55" t="s">
        <v>2</v>
      </c>
    </row>
    <row r="47" spans="3:11" x14ac:dyDescent="0.2">
      <c r="E47" s="62" t="s">
        <v>77</v>
      </c>
      <c r="F47" s="46">
        <f>Data!I35</f>
        <v>0</v>
      </c>
      <c r="G47" s="23" t="s">
        <v>0</v>
      </c>
      <c r="H47" s="47">
        <f t="shared" si="3"/>
        <v>0.462725</v>
      </c>
      <c r="I47" s="23" t="s">
        <v>1</v>
      </c>
      <c r="J47" s="48">
        <f t="shared" si="2"/>
        <v>0</v>
      </c>
      <c r="K47" s="24" t="s">
        <v>2</v>
      </c>
    </row>
    <row r="48" spans="3:11" x14ac:dyDescent="0.2">
      <c r="E48" s="62" t="s">
        <v>78</v>
      </c>
      <c r="F48" s="51">
        <f>Data!I36</f>
        <v>0</v>
      </c>
      <c r="G48" s="52" t="s">
        <v>0</v>
      </c>
      <c r="H48" s="53">
        <f t="shared" si="3"/>
        <v>0.462725</v>
      </c>
      <c r="I48" s="52" t="s">
        <v>1</v>
      </c>
      <c r="J48" s="54">
        <f t="shared" si="2"/>
        <v>0</v>
      </c>
      <c r="K48" s="55" t="s">
        <v>2</v>
      </c>
    </row>
    <row r="49" spans="2:11" ht="13.5" thickBot="1" x14ac:dyDescent="0.25">
      <c r="F49" s="49"/>
      <c r="H49" s="50"/>
      <c r="J49" s="56"/>
    </row>
    <row r="50" spans="2:11" ht="13.5" thickBot="1" x14ac:dyDescent="0.25">
      <c r="F50" s="49"/>
      <c r="H50" s="50"/>
      <c r="I50" s="57" t="s">
        <v>99</v>
      </c>
      <c r="J50" s="63">
        <f>SUM(J37:J48)</f>
        <v>0</v>
      </c>
      <c r="K50" s="64" t="s">
        <v>2</v>
      </c>
    </row>
    <row r="51" spans="2:11" x14ac:dyDescent="0.2">
      <c r="F51" s="49"/>
      <c r="H51" s="50"/>
      <c r="I51" s="57"/>
      <c r="J51" s="57"/>
      <c r="K51" s="57"/>
    </row>
    <row r="52" spans="2:11" x14ac:dyDescent="0.2">
      <c r="F52" s="49"/>
      <c r="H52" s="50"/>
      <c r="I52" s="57"/>
      <c r="J52" s="57"/>
      <c r="K52" s="57"/>
    </row>
    <row r="53" spans="2:11" x14ac:dyDescent="0.2">
      <c r="C53" s="17" t="s">
        <v>98</v>
      </c>
      <c r="F53" s="49"/>
      <c r="H53" s="50"/>
      <c r="J53" s="56"/>
    </row>
    <row r="54" spans="2:11" x14ac:dyDescent="0.2">
      <c r="F54" s="49"/>
      <c r="H54" s="50"/>
      <c r="J54" s="56"/>
    </row>
    <row r="55" spans="2:11" x14ac:dyDescent="0.2">
      <c r="F55" s="60" t="s">
        <v>89</v>
      </c>
      <c r="H55" s="136" t="s">
        <v>87</v>
      </c>
      <c r="J55" s="61" t="s">
        <v>88</v>
      </c>
    </row>
    <row r="56" spans="2:11" x14ac:dyDescent="0.2">
      <c r="F56" s="46">
        <f>Data!$F$47</f>
        <v>0</v>
      </c>
      <c r="G56" s="23" t="s">
        <v>10</v>
      </c>
      <c r="H56" s="47">
        <f>'Results I'!$D$20</f>
        <v>4.7011000000000003</v>
      </c>
      <c r="I56" s="23" t="s">
        <v>11</v>
      </c>
      <c r="J56" s="48">
        <f>F56*H56*1000</f>
        <v>0</v>
      </c>
      <c r="K56" s="24" t="s">
        <v>2</v>
      </c>
    </row>
    <row r="57" spans="2:11" ht="13.5" thickBot="1" x14ac:dyDescent="0.25">
      <c r="F57" s="49"/>
      <c r="H57" s="50"/>
      <c r="J57" s="56"/>
    </row>
    <row r="58" spans="2:11" ht="13.5" thickBot="1" x14ac:dyDescent="0.25">
      <c r="F58" s="49"/>
      <c r="H58" s="50"/>
      <c r="I58" s="57" t="s">
        <v>100</v>
      </c>
      <c r="J58" s="58">
        <f>J31+J50+J56</f>
        <v>0</v>
      </c>
      <c r="K58" s="59" t="s">
        <v>2</v>
      </c>
    </row>
    <row r="59" spans="2:11" x14ac:dyDescent="0.2">
      <c r="F59" s="49"/>
      <c r="H59" s="50"/>
      <c r="I59" s="57"/>
      <c r="J59" s="57"/>
      <c r="K59" s="57"/>
    </row>
    <row r="60" spans="2:11" x14ac:dyDescent="0.2">
      <c r="F60" s="49"/>
      <c r="H60" s="50"/>
      <c r="J60" s="56"/>
    </row>
    <row r="61" spans="2:11" x14ac:dyDescent="0.2">
      <c r="B61" s="17" t="s">
        <v>101</v>
      </c>
      <c r="F61" s="49"/>
      <c r="H61" s="50"/>
      <c r="J61" s="56"/>
    </row>
    <row r="62" spans="2:11" x14ac:dyDescent="0.2">
      <c r="F62" s="49"/>
      <c r="H62" s="50"/>
      <c r="J62" s="56"/>
    </row>
    <row r="63" spans="2:11" x14ac:dyDescent="0.2">
      <c r="F63" s="60" t="s">
        <v>125</v>
      </c>
      <c r="H63" s="136" t="s">
        <v>87</v>
      </c>
      <c r="J63" s="61" t="s">
        <v>88</v>
      </c>
    </row>
    <row r="64" spans="2:11" x14ac:dyDescent="0.2">
      <c r="E64" s="62" t="s">
        <v>67</v>
      </c>
      <c r="F64" s="46">
        <f>Data!H61</f>
        <v>0</v>
      </c>
      <c r="G64" s="23" t="s">
        <v>3</v>
      </c>
      <c r="H64" s="47">
        <f>'Results I'!D24</f>
        <v>0.91959999999999997</v>
      </c>
      <c r="I64" s="23" t="s">
        <v>4</v>
      </c>
      <c r="J64" s="48">
        <f>F64*H64</f>
        <v>0</v>
      </c>
      <c r="K64" s="24" t="s">
        <v>2</v>
      </c>
    </row>
    <row r="65" spans="2:11" x14ac:dyDescent="0.2">
      <c r="E65" s="62" t="s">
        <v>68</v>
      </c>
      <c r="F65" s="51">
        <f>Data!H62</f>
        <v>0</v>
      </c>
      <c r="G65" s="52" t="s">
        <v>3</v>
      </c>
      <c r="H65" s="53">
        <f>H64</f>
        <v>0.91959999999999997</v>
      </c>
      <c r="I65" s="52" t="s">
        <v>4</v>
      </c>
      <c r="J65" s="54">
        <f t="shared" ref="J65:J75" si="4">F65*H65</f>
        <v>0</v>
      </c>
      <c r="K65" s="55" t="s">
        <v>2</v>
      </c>
    </row>
    <row r="66" spans="2:11" x14ac:dyDescent="0.2">
      <c r="E66" s="62" t="s">
        <v>69</v>
      </c>
      <c r="F66" s="46">
        <f>Data!H63</f>
        <v>0</v>
      </c>
      <c r="G66" s="23" t="s">
        <v>3</v>
      </c>
      <c r="H66" s="47">
        <f t="shared" ref="H66:H75" si="5">H65</f>
        <v>0.91959999999999997</v>
      </c>
      <c r="I66" s="23" t="s">
        <v>4</v>
      </c>
      <c r="J66" s="48">
        <f t="shared" si="4"/>
        <v>0</v>
      </c>
      <c r="K66" s="24" t="s">
        <v>2</v>
      </c>
    </row>
    <row r="67" spans="2:11" x14ac:dyDescent="0.2">
      <c r="E67" s="62" t="s">
        <v>70</v>
      </c>
      <c r="F67" s="51">
        <f>Data!H64</f>
        <v>0</v>
      </c>
      <c r="G67" s="52" t="s">
        <v>3</v>
      </c>
      <c r="H67" s="53">
        <f t="shared" si="5"/>
        <v>0.91959999999999997</v>
      </c>
      <c r="I67" s="52" t="s">
        <v>4</v>
      </c>
      <c r="J67" s="54">
        <f t="shared" si="4"/>
        <v>0</v>
      </c>
      <c r="K67" s="55" t="s">
        <v>2</v>
      </c>
    </row>
    <row r="68" spans="2:11" x14ac:dyDescent="0.2">
      <c r="E68" s="62" t="s">
        <v>71</v>
      </c>
      <c r="F68" s="46">
        <f>Data!H65</f>
        <v>0</v>
      </c>
      <c r="G68" s="23" t="s">
        <v>3</v>
      </c>
      <c r="H68" s="47">
        <f t="shared" si="5"/>
        <v>0.91959999999999997</v>
      </c>
      <c r="I68" s="23" t="s">
        <v>4</v>
      </c>
      <c r="J68" s="48">
        <f t="shared" si="4"/>
        <v>0</v>
      </c>
      <c r="K68" s="24" t="s">
        <v>2</v>
      </c>
    </row>
    <row r="69" spans="2:11" x14ac:dyDescent="0.2">
      <c r="E69" s="62" t="s">
        <v>72</v>
      </c>
      <c r="F69" s="51">
        <f>Data!H66</f>
        <v>0</v>
      </c>
      <c r="G69" s="52" t="s">
        <v>3</v>
      </c>
      <c r="H69" s="53">
        <f t="shared" si="5"/>
        <v>0.91959999999999997</v>
      </c>
      <c r="I69" s="52" t="s">
        <v>4</v>
      </c>
      <c r="J69" s="54">
        <f t="shared" si="4"/>
        <v>0</v>
      </c>
      <c r="K69" s="55" t="s">
        <v>2</v>
      </c>
    </row>
    <row r="70" spans="2:11" x14ac:dyDescent="0.2">
      <c r="E70" s="62" t="s">
        <v>73</v>
      </c>
      <c r="F70" s="46">
        <f>Data!H67</f>
        <v>0</v>
      </c>
      <c r="G70" s="23" t="s">
        <v>3</v>
      </c>
      <c r="H70" s="47">
        <f t="shared" si="5"/>
        <v>0.91959999999999997</v>
      </c>
      <c r="I70" s="23" t="s">
        <v>4</v>
      </c>
      <c r="J70" s="48">
        <f t="shared" si="4"/>
        <v>0</v>
      </c>
      <c r="K70" s="24" t="s">
        <v>2</v>
      </c>
    </row>
    <row r="71" spans="2:11" x14ac:dyDescent="0.2">
      <c r="E71" s="62" t="s">
        <v>74</v>
      </c>
      <c r="F71" s="51">
        <f>Data!H68</f>
        <v>0</v>
      </c>
      <c r="G71" s="52" t="s">
        <v>3</v>
      </c>
      <c r="H71" s="53">
        <f t="shared" si="5"/>
        <v>0.91959999999999997</v>
      </c>
      <c r="I71" s="52" t="s">
        <v>4</v>
      </c>
      <c r="J71" s="54">
        <f t="shared" si="4"/>
        <v>0</v>
      </c>
      <c r="K71" s="55" t="s">
        <v>2</v>
      </c>
    </row>
    <row r="72" spans="2:11" x14ac:dyDescent="0.2">
      <c r="E72" s="62" t="s">
        <v>75</v>
      </c>
      <c r="F72" s="46">
        <f>Data!H69</f>
        <v>0</v>
      </c>
      <c r="G72" s="23" t="s">
        <v>3</v>
      </c>
      <c r="H72" s="47">
        <f t="shared" si="5"/>
        <v>0.91959999999999997</v>
      </c>
      <c r="I72" s="23" t="s">
        <v>4</v>
      </c>
      <c r="J72" s="48">
        <f t="shared" si="4"/>
        <v>0</v>
      </c>
      <c r="K72" s="24" t="s">
        <v>2</v>
      </c>
    </row>
    <row r="73" spans="2:11" x14ac:dyDescent="0.2">
      <c r="E73" s="62" t="s">
        <v>76</v>
      </c>
      <c r="F73" s="51">
        <f>Data!H70</f>
        <v>0</v>
      </c>
      <c r="G73" s="52" t="s">
        <v>3</v>
      </c>
      <c r="H73" s="53">
        <f t="shared" si="5"/>
        <v>0.91959999999999997</v>
      </c>
      <c r="I73" s="52" t="s">
        <v>4</v>
      </c>
      <c r="J73" s="54">
        <f t="shared" si="4"/>
        <v>0</v>
      </c>
      <c r="K73" s="55" t="s">
        <v>2</v>
      </c>
    </row>
    <row r="74" spans="2:11" x14ac:dyDescent="0.2">
      <c r="E74" s="62" t="s">
        <v>77</v>
      </c>
      <c r="F74" s="46">
        <f>Data!H71</f>
        <v>0</v>
      </c>
      <c r="G74" s="23" t="s">
        <v>3</v>
      </c>
      <c r="H74" s="47">
        <f t="shared" si="5"/>
        <v>0.91959999999999997</v>
      </c>
      <c r="I74" s="23" t="s">
        <v>4</v>
      </c>
      <c r="J74" s="48">
        <f t="shared" si="4"/>
        <v>0</v>
      </c>
      <c r="K74" s="24" t="s">
        <v>2</v>
      </c>
    </row>
    <row r="75" spans="2:11" x14ac:dyDescent="0.2">
      <c r="E75" s="62" t="s">
        <v>78</v>
      </c>
      <c r="F75" s="51">
        <f>Data!H72</f>
        <v>0</v>
      </c>
      <c r="G75" s="52" t="s">
        <v>3</v>
      </c>
      <c r="H75" s="53">
        <f t="shared" si="5"/>
        <v>0.91959999999999997</v>
      </c>
      <c r="I75" s="52" t="s">
        <v>4</v>
      </c>
      <c r="J75" s="54">
        <f t="shared" si="4"/>
        <v>0</v>
      </c>
      <c r="K75" s="55" t="s">
        <v>2</v>
      </c>
    </row>
    <row r="76" spans="2:11" ht="13.5" thickBot="1" x14ac:dyDescent="0.25">
      <c r="F76" s="49"/>
      <c r="H76" s="50"/>
      <c r="J76" s="56"/>
    </row>
    <row r="77" spans="2:11" ht="13.5" thickBot="1" x14ac:dyDescent="0.25">
      <c r="F77" s="49"/>
      <c r="H77" s="50"/>
      <c r="I77" s="57" t="s">
        <v>102</v>
      </c>
      <c r="J77" s="58">
        <f>SUM(J64:J75)</f>
        <v>0</v>
      </c>
      <c r="K77" s="59" t="s">
        <v>2</v>
      </c>
    </row>
    <row r="78" spans="2:11" x14ac:dyDescent="0.2">
      <c r="F78" s="49"/>
      <c r="H78" s="50"/>
      <c r="J78" s="56"/>
    </row>
    <row r="79" spans="2:11" x14ac:dyDescent="0.2">
      <c r="F79" s="49"/>
      <c r="H79" s="50"/>
      <c r="J79" s="56"/>
    </row>
    <row r="80" spans="2:11" x14ac:dyDescent="0.2">
      <c r="B80" s="17" t="s">
        <v>103</v>
      </c>
      <c r="F80" s="49"/>
      <c r="H80" s="50"/>
      <c r="J80" s="56"/>
    </row>
    <row r="81" spans="4:11" x14ac:dyDescent="0.2">
      <c r="F81" s="49"/>
      <c r="H81" s="50"/>
      <c r="J81" s="56"/>
    </row>
    <row r="82" spans="4:11" x14ac:dyDescent="0.2">
      <c r="D82" s="17" t="s">
        <v>104</v>
      </c>
      <c r="F82" s="49"/>
      <c r="H82" s="50"/>
      <c r="J82" s="56"/>
    </row>
    <row r="83" spans="4:11" x14ac:dyDescent="0.2">
      <c r="F83" s="60" t="s">
        <v>125</v>
      </c>
      <c r="H83" s="136" t="s">
        <v>87</v>
      </c>
      <c r="J83" s="61" t="s">
        <v>88</v>
      </c>
    </row>
    <row r="84" spans="4:11" x14ac:dyDescent="0.2">
      <c r="E84" s="62" t="s">
        <v>67</v>
      </c>
      <c r="F84" s="46">
        <f>Data!H61</f>
        <v>0</v>
      </c>
      <c r="G84" s="23" t="s">
        <v>3</v>
      </c>
      <c r="H84" s="47">
        <f>'Results I'!D28</f>
        <v>0.72540000000000004</v>
      </c>
      <c r="I84" s="23" t="s">
        <v>4</v>
      </c>
      <c r="J84" s="48">
        <f>F84*H84</f>
        <v>0</v>
      </c>
      <c r="K84" s="24" t="s">
        <v>2</v>
      </c>
    </row>
    <row r="85" spans="4:11" x14ac:dyDescent="0.2">
      <c r="E85" s="62" t="s">
        <v>68</v>
      </c>
      <c r="F85" s="51">
        <f>Data!H62</f>
        <v>0</v>
      </c>
      <c r="G85" s="52" t="s">
        <v>3</v>
      </c>
      <c r="H85" s="53">
        <f>H84</f>
        <v>0.72540000000000004</v>
      </c>
      <c r="I85" s="52" t="s">
        <v>4</v>
      </c>
      <c r="J85" s="54">
        <f t="shared" ref="J85:J95" si="6">F85*H85</f>
        <v>0</v>
      </c>
      <c r="K85" s="55" t="s">
        <v>2</v>
      </c>
    </row>
    <row r="86" spans="4:11" x14ac:dyDescent="0.2">
      <c r="E86" s="62" t="s">
        <v>69</v>
      </c>
      <c r="F86" s="46">
        <f>Data!H63</f>
        <v>0</v>
      </c>
      <c r="G86" s="23" t="s">
        <v>3</v>
      </c>
      <c r="H86" s="47">
        <f t="shared" ref="H86:H95" si="7">H85</f>
        <v>0.72540000000000004</v>
      </c>
      <c r="I86" s="23" t="s">
        <v>4</v>
      </c>
      <c r="J86" s="48">
        <f t="shared" si="6"/>
        <v>0</v>
      </c>
      <c r="K86" s="24" t="s">
        <v>2</v>
      </c>
    </row>
    <row r="87" spans="4:11" x14ac:dyDescent="0.2">
      <c r="E87" s="62" t="s">
        <v>70</v>
      </c>
      <c r="F87" s="51">
        <f>Data!H64</f>
        <v>0</v>
      </c>
      <c r="G87" s="52" t="s">
        <v>3</v>
      </c>
      <c r="H87" s="53">
        <f t="shared" si="7"/>
        <v>0.72540000000000004</v>
      </c>
      <c r="I87" s="52" t="s">
        <v>4</v>
      </c>
      <c r="J87" s="54">
        <f t="shared" si="6"/>
        <v>0</v>
      </c>
      <c r="K87" s="55" t="s">
        <v>2</v>
      </c>
    </row>
    <row r="88" spans="4:11" x14ac:dyDescent="0.2">
      <c r="E88" s="62" t="s">
        <v>71</v>
      </c>
      <c r="F88" s="46">
        <f>Data!H65</f>
        <v>0</v>
      </c>
      <c r="G88" s="23" t="s">
        <v>3</v>
      </c>
      <c r="H88" s="47">
        <f t="shared" si="7"/>
        <v>0.72540000000000004</v>
      </c>
      <c r="I88" s="23" t="s">
        <v>4</v>
      </c>
      <c r="J88" s="48">
        <f t="shared" si="6"/>
        <v>0</v>
      </c>
      <c r="K88" s="24" t="s">
        <v>2</v>
      </c>
    </row>
    <row r="89" spans="4:11" x14ac:dyDescent="0.2">
      <c r="E89" s="62" t="s">
        <v>72</v>
      </c>
      <c r="F89" s="51">
        <f>Data!H66</f>
        <v>0</v>
      </c>
      <c r="G89" s="52" t="s">
        <v>3</v>
      </c>
      <c r="H89" s="53">
        <f t="shared" si="7"/>
        <v>0.72540000000000004</v>
      </c>
      <c r="I89" s="52" t="s">
        <v>4</v>
      </c>
      <c r="J89" s="54">
        <f t="shared" si="6"/>
        <v>0</v>
      </c>
      <c r="K89" s="55" t="s">
        <v>2</v>
      </c>
    </row>
    <row r="90" spans="4:11" x14ac:dyDescent="0.2">
      <c r="E90" s="62" t="s">
        <v>73</v>
      </c>
      <c r="F90" s="46">
        <f>Data!H67</f>
        <v>0</v>
      </c>
      <c r="G90" s="23" t="s">
        <v>3</v>
      </c>
      <c r="H90" s="47">
        <f t="shared" si="7"/>
        <v>0.72540000000000004</v>
      </c>
      <c r="I90" s="23" t="s">
        <v>4</v>
      </c>
      <c r="J90" s="48">
        <f t="shared" si="6"/>
        <v>0</v>
      </c>
      <c r="K90" s="24" t="s">
        <v>2</v>
      </c>
    </row>
    <row r="91" spans="4:11" x14ac:dyDescent="0.2">
      <c r="E91" s="62" t="s">
        <v>74</v>
      </c>
      <c r="F91" s="51">
        <f>Data!H68</f>
        <v>0</v>
      </c>
      <c r="G91" s="52" t="s">
        <v>3</v>
      </c>
      <c r="H91" s="53">
        <f t="shared" si="7"/>
        <v>0.72540000000000004</v>
      </c>
      <c r="I91" s="52" t="s">
        <v>4</v>
      </c>
      <c r="J91" s="54">
        <f t="shared" si="6"/>
        <v>0</v>
      </c>
      <c r="K91" s="55" t="s">
        <v>2</v>
      </c>
    </row>
    <row r="92" spans="4:11" x14ac:dyDescent="0.2">
      <c r="E92" s="62" t="s">
        <v>75</v>
      </c>
      <c r="F92" s="46">
        <f>Data!H69</f>
        <v>0</v>
      </c>
      <c r="G92" s="23" t="s">
        <v>3</v>
      </c>
      <c r="H92" s="47">
        <f t="shared" si="7"/>
        <v>0.72540000000000004</v>
      </c>
      <c r="I92" s="23" t="s">
        <v>4</v>
      </c>
      <c r="J92" s="48">
        <f t="shared" si="6"/>
        <v>0</v>
      </c>
      <c r="K92" s="24" t="s">
        <v>2</v>
      </c>
    </row>
    <row r="93" spans="4:11" x14ac:dyDescent="0.2">
      <c r="E93" s="62" t="s">
        <v>76</v>
      </c>
      <c r="F93" s="51">
        <f>Data!H70</f>
        <v>0</v>
      </c>
      <c r="G93" s="52" t="s">
        <v>3</v>
      </c>
      <c r="H93" s="53">
        <f t="shared" si="7"/>
        <v>0.72540000000000004</v>
      </c>
      <c r="I93" s="52" t="s">
        <v>4</v>
      </c>
      <c r="J93" s="54">
        <f t="shared" si="6"/>
        <v>0</v>
      </c>
      <c r="K93" s="55" t="s">
        <v>2</v>
      </c>
    </row>
    <row r="94" spans="4:11" x14ac:dyDescent="0.2">
      <c r="E94" s="62" t="s">
        <v>77</v>
      </c>
      <c r="F94" s="46">
        <f>Data!H71</f>
        <v>0</v>
      </c>
      <c r="G94" s="23" t="s">
        <v>3</v>
      </c>
      <c r="H94" s="47">
        <f t="shared" si="7"/>
        <v>0.72540000000000004</v>
      </c>
      <c r="I94" s="23" t="s">
        <v>4</v>
      </c>
      <c r="J94" s="48">
        <f t="shared" si="6"/>
        <v>0</v>
      </c>
      <c r="K94" s="24" t="s">
        <v>2</v>
      </c>
    </row>
    <row r="95" spans="4:11" x14ac:dyDescent="0.2">
      <c r="E95" s="62" t="s">
        <v>78</v>
      </c>
      <c r="F95" s="51">
        <f>Data!H72</f>
        <v>0</v>
      </c>
      <c r="G95" s="52" t="s">
        <v>3</v>
      </c>
      <c r="H95" s="53">
        <f t="shared" si="7"/>
        <v>0.72540000000000004</v>
      </c>
      <c r="I95" s="52" t="s">
        <v>4</v>
      </c>
      <c r="J95" s="54">
        <f t="shared" si="6"/>
        <v>0</v>
      </c>
      <c r="K95" s="55" t="s">
        <v>2</v>
      </c>
    </row>
    <row r="96" spans="4:11" ht="13.5" thickBot="1" x14ac:dyDescent="0.25">
      <c r="F96" s="49"/>
      <c r="H96" s="50"/>
      <c r="J96" s="56"/>
    </row>
    <row r="97" spans="2:11" ht="13.5" thickBot="1" x14ac:dyDescent="0.25">
      <c r="D97" s="163" t="s">
        <v>106</v>
      </c>
      <c r="E97" s="163"/>
      <c r="F97" s="163"/>
      <c r="G97" s="163"/>
      <c r="H97" s="163"/>
      <c r="I97" s="164"/>
      <c r="J97" s="63">
        <f>SUM(J84:J95)</f>
        <v>0</v>
      </c>
      <c r="K97" s="64" t="s">
        <v>2</v>
      </c>
    </row>
    <row r="98" spans="2:11" x14ac:dyDescent="0.2">
      <c r="F98" s="49"/>
      <c r="H98" s="50"/>
      <c r="J98" s="56"/>
    </row>
    <row r="99" spans="2:11" x14ac:dyDescent="0.2">
      <c r="D99" s="17" t="s">
        <v>105</v>
      </c>
      <c r="F99" s="49"/>
      <c r="H99" s="50"/>
      <c r="J99" s="56"/>
    </row>
    <row r="100" spans="2:11" x14ac:dyDescent="0.2">
      <c r="F100" s="60" t="s">
        <v>126</v>
      </c>
      <c r="H100" s="136" t="s">
        <v>87</v>
      </c>
      <c r="J100" s="61" t="s">
        <v>88</v>
      </c>
    </row>
    <row r="101" spans="2:11" x14ac:dyDescent="0.2">
      <c r="F101" s="46">
        <f>Data!F80</f>
        <v>0</v>
      </c>
      <c r="G101" s="23" t="s">
        <v>3</v>
      </c>
      <c r="H101" s="47">
        <f>'Results I'!D31</f>
        <v>0.6169</v>
      </c>
      <c r="I101" s="23" t="s">
        <v>4</v>
      </c>
      <c r="J101" s="48">
        <f>F101*H101</f>
        <v>0</v>
      </c>
      <c r="K101" s="24" t="s">
        <v>2</v>
      </c>
    </row>
    <row r="102" spans="2:11" ht="13.5" thickBot="1" x14ac:dyDescent="0.25">
      <c r="F102" s="49"/>
      <c r="H102" s="50"/>
      <c r="J102" s="56"/>
    </row>
    <row r="103" spans="2:11" ht="13.5" thickBot="1" x14ac:dyDescent="0.25">
      <c r="D103" s="163" t="s">
        <v>107</v>
      </c>
      <c r="E103" s="163"/>
      <c r="F103" s="163"/>
      <c r="G103" s="163"/>
      <c r="H103" s="163"/>
      <c r="I103" s="164"/>
      <c r="J103" s="58">
        <f>J97+J101</f>
        <v>0</v>
      </c>
      <c r="K103" s="59" t="s">
        <v>2</v>
      </c>
    </row>
    <row r="104" spans="2:11" x14ac:dyDescent="0.2">
      <c r="F104" s="49"/>
      <c r="H104" s="50"/>
      <c r="J104" s="56"/>
    </row>
    <row r="105" spans="2:11" x14ac:dyDescent="0.2">
      <c r="F105" s="49"/>
      <c r="H105" s="50"/>
      <c r="J105" s="56"/>
    </row>
    <row r="106" spans="2:11" x14ac:dyDescent="0.2">
      <c r="B106" s="17" t="s">
        <v>108</v>
      </c>
      <c r="F106" s="49"/>
      <c r="H106" s="50"/>
      <c r="J106" s="56"/>
    </row>
    <row r="107" spans="2:11" x14ac:dyDescent="0.2">
      <c r="F107" s="49"/>
      <c r="H107" s="50"/>
      <c r="J107" s="56"/>
    </row>
    <row r="108" spans="2:11" x14ac:dyDescent="0.2">
      <c r="F108" s="60" t="s">
        <v>125</v>
      </c>
      <c r="H108" s="136" t="s">
        <v>87</v>
      </c>
      <c r="J108" s="61" t="s">
        <v>88</v>
      </c>
    </row>
    <row r="109" spans="2:11" x14ac:dyDescent="0.2">
      <c r="E109" s="62" t="s">
        <v>67</v>
      </c>
      <c r="F109" s="46">
        <f>Data!H61</f>
        <v>0</v>
      </c>
      <c r="G109" s="23" t="s">
        <v>3</v>
      </c>
      <c r="H109" s="47">
        <f>'Results I'!D35</f>
        <v>0.37190000000000001</v>
      </c>
      <c r="I109" s="23" t="s">
        <v>4</v>
      </c>
      <c r="J109" s="48">
        <f>F109*H109</f>
        <v>0</v>
      </c>
      <c r="K109" s="24" t="s">
        <v>2</v>
      </c>
    </row>
    <row r="110" spans="2:11" x14ac:dyDescent="0.2">
      <c r="E110" s="62" t="s">
        <v>68</v>
      </c>
      <c r="F110" s="51">
        <f>Data!H62</f>
        <v>0</v>
      </c>
      <c r="G110" s="52" t="s">
        <v>3</v>
      </c>
      <c r="H110" s="53">
        <f>H109</f>
        <v>0.37190000000000001</v>
      </c>
      <c r="I110" s="52" t="s">
        <v>4</v>
      </c>
      <c r="J110" s="54">
        <f t="shared" ref="J110:J120" si="8">F110*H110</f>
        <v>0</v>
      </c>
      <c r="K110" s="55" t="s">
        <v>2</v>
      </c>
    </row>
    <row r="111" spans="2:11" x14ac:dyDescent="0.2">
      <c r="E111" s="62" t="s">
        <v>69</v>
      </c>
      <c r="F111" s="46">
        <f>Data!H63</f>
        <v>0</v>
      </c>
      <c r="G111" s="23" t="s">
        <v>3</v>
      </c>
      <c r="H111" s="47">
        <f t="shared" ref="H111:H120" si="9">H110</f>
        <v>0.37190000000000001</v>
      </c>
      <c r="I111" s="23" t="s">
        <v>4</v>
      </c>
      <c r="J111" s="48">
        <f t="shared" si="8"/>
        <v>0</v>
      </c>
      <c r="K111" s="24" t="s">
        <v>2</v>
      </c>
    </row>
    <row r="112" spans="2:11" x14ac:dyDescent="0.2">
      <c r="E112" s="62" t="s">
        <v>70</v>
      </c>
      <c r="F112" s="51">
        <f>Data!H64</f>
        <v>0</v>
      </c>
      <c r="G112" s="52" t="s">
        <v>3</v>
      </c>
      <c r="H112" s="53">
        <f t="shared" si="9"/>
        <v>0.37190000000000001</v>
      </c>
      <c r="I112" s="52" t="s">
        <v>4</v>
      </c>
      <c r="J112" s="54">
        <f t="shared" si="8"/>
        <v>0</v>
      </c>
      <c r="K112" s="55" t="s">
        <v>2</v>
      </c>
    </row>
    <row r="113" spans="2:11" x14ac:dyDescent="0.2">
      <c r="E113" s="62" t="s">
        <v>71</v>
      </c>
      <c r="F113" s="46">
        <f>Data!H65</f>
        <v>0</v>
      </c>
      <c r="G113" s="23" t="s">
        <v>3</v>
      </c>
      <c r="H113" s="47">
        <f t="shared" si="9"/>
        <v>0.37190000000000001</v>
      </c>
      <c r="I113" s="23" t="s">
        <v>4</v>
      </c>
      <c r="J113" s="48">
        <f t="shared" si="8"/>
        <v>0</v>
      </c>
      <c r="K113" s="24" t="s">
        <v>2</v>
      </c>
    </row>
    <row r="114" spans="2:11" x14ac:dyDescent="0.2">
      <c r="E114" s="62" t="s">
        <v>72</v>
      </c>
      <c r="F114" s="51">
        <f>Data!H66</f>
        <v>0</v>
      </c>
      <c r="G114" s="52" t="s">
        <v>3</v>
      </c>
      <c r="H114" s="53">
        <f t="shared" si="9"/>
        <v>0.37190000000000001</v>
      </c>
      <c r="I114" s="52" t="s">
        <v>4</v>
      </c>
      <c r="J114" s="54">
        <f t="shared" si="8"/>
        <v>0</v>
      </c>
      <c r="K114" s="55" t="s">
        <v>2</v>
      </c>
    </row>
    <row r="115" spans="2:11" x14ac:dyDescent="0.2">
      <c r="E115" s="62" t="s">
        <v>73</v>
      </c>
      <c r="F115" s="46">
        <f>Data!H67</f>
        <v>0</v>
      </c>
      <c r="G115" s="23" t="s">
        <v>3</v>
      </c>
      <c r="H115" s="47">
        <f t="shared" si="9"/>
        <v>0.37190000000000001</v>
      </c>
      <c r="I115" s="23" t="s">
        <v>4</v>
      </c>
      <c r="J115" s="48">
        <f t="shared" si="8"/>
        <v>0</v>
      </c>
      <c r="K115" s="24" t="s">
        <v>2</v>
      </c>
    </row>
    <row r="116" spans="2:11" x14ac:dyDescent="0.2">
      <c r="E116" s="62" t="s">
        <v>74</v>
      </c>
      <c r="F116" s="51">
        <f>Data!H68</f>
        <v>0</v>
      </c>
      <c r="G116" s="52" t="s">
        <v>3</v>
      </c>
      <c r="H116" s="53">
        <f t="shared" si="9"/>
        <v>0.37190000000000001</v>
      </c>
      <c r="I116" s="52" t="s">
        <v>4</v>
      </c>
      <c r="J116" s="54">
        <f t="shared" si="8"/>
        <v>0</v>
      </c>
      <c r="K116" s="55" t="s">
        <v>2</v>
      </c>
    </row>
    <row r="117" spans="2:11" x14ac:dyDescent="0.2">
      <c r="E117" s="62" t="s">
        <v>75</v>
      </c>
      <c r="F117" s="46">
        <f>Data!H69</f>
        <v>0</v>
      </c>
      <c r="G117" s="23" t="s">
        <v>3</v>
      </c>
      <c r="H117" s="47">
        <f t="shared" si="9"/>
        <v>0.37190000000000001</v>
      </c>
      <c r="I117" s="23" t="s">
        <v>4</v>
      </c>
      <c r="J117" s="48">
        <f t="shared" si="8"/>
        <v>0</v>
      </c>
      <c r="K117" s="24" t="s">
        <v>2</v>
      </c>
    </row>
    <row r="118" spans="2:11" x14ac:dyDescent="0.2">
      <c r="E118" s="62" t="s">
        <v>76</v>
      </c>
      <c r="F118" s="51">
        <f>Data!H70</f>
        <v>0</v>
      </c>
      <c r="G118" s="52" t="s">
        <v>3</v>
      </c>
      <c r="H118" s="53">
        <f t="shared" si="9"/>
        <v>0.37190000000000001</v>
      </c>
      <c r="I118" s="52" t="s">
        <v>4</v>
      </c>
      <c r="J118" s="54">
        <f t="shared" si="8"/>
        <v>0</v>
      </c>
      <c r="K118" s="55" t="s">
        <v>2</v>
      </c>
    </row>
    <row r="119" spans="2:11" x14ac:dyDescent="0.2">
      <c r="E119" s="62" t="s">
        <v>77</v>
      </c>
      <c r="F119" s="46">
        <f>Data!H71</f>
        <v>0</v>
      </c>
      <c r="G119" s="23" t="s">
        <v>3</v>
      </c>
      <c r="H119" s="47">
        <f t="shared" si="9"/>
        <v>0.37190000000000001</v>
      </c>
      <c r="I119" s="23" t="s">
        <v>4</v>
      </c>
      <c r="J119" s="48">
        <f t="shared" si="8"/>
        <v>0</v>
      </c>
      <c r="K119" s="24" t="s">
        <v>2</v>
      </c>
    </row>
    <row r="120" spans="2:11" x14ac:dyDescent="0.2">
      <c r="E120" s="62" t="s">
        <v>78</v>
      </c>
      <c r="F120" s="51">
        <f>Data!H72</f>
        <v>0</v>
      </c>
      <c r="G120" s="52" t="s">
        <v>3</v>
      </c>
      <c r="H120" s="53">
        <f t="shared" si="9"/>
        <v>0.37190000000000001</v>
      </c>
      <c r="I120" s="52" t="s">
        <v>4</v>
      </c>
      <c r="J120" s="54">
        <f t="shared" si="8"/>
        <v>0</v>
      </c>
      <c r="K120" s="55" t="s">
        <v>2</v>
      </c>
    </row>
    <row r="121" spans="2:11" ht="13.5" thickBot="1" x14ac:dyDescent="0.25">
      <c r="F121" s="49"/>
      <c r="H121" s="50"/>
      <c r="J121" s="56"/>
    </row>
    <row r="122" spans="2:11" ht="13.5" thickBot="1" x14ac:dyDescent="0.25">
      <c r="F122" s="49"/>
      <c r="H122" s="50"/>
      <c r="I122" s="57" t="s">
        <v>109</v>
      </c>
      <c r="J122" s="58">
        <f>SUM(J109:J120)</f>
        <v>0</v>
      </c>
      <c r="K122" s="59" t="s">
        <v>2</v>
      </c>
    </row>
    <row r="123" spans="2:11" x14ac:dyDescent="0.2">
      <c r="F123" s="49"/>
      <c r="H123" s="50"/>
      <c r="J123" s="56"/>
    </row>
    <row r="124" spans="2:11" x14ac:dyDescent="0.2">
      <c r="F124" s="49"/>
      <c r="H124" s="50"/>
      <c r="J124" s="56"/>
    </row>
    <row r="125" spans="2:11" x14ac:dyDescent="0.2">
      <c r="B125" s="17" t="s">
        <v>110</v>
      </c>
      <c r="F125" s="49"/>
      <c r="H125" s="50"/>
      <c r="J125" s="56"/>
    </row>
    <row r="126" spans="2:11" x14ac:dyDescent="0.2">
      <c r="F126" s="49"/>
      <c r="H126" s="50"/>
      <c r="J126" s="56"/>
    </row>
    <row r="127" spans="2:11" x14ac:dyDescent="0.2">
      <c r="C127" s="17" t="s">
        <v>173</v>
      </c>
      <c r="F127" s="49"/>
      <c r="H127" s="50"/>
      <c r="J127" s="56"/>
    </row>
    <row r="128" spans="2:11" x14ac:dyDescent="0.2">
      <c r="D128" s="140" t="s">
        <v>154</v>
      </c>
      <c r="F128" s="49"/>
      <c r="H128" s="50"/>
      <c r="J128" s="56"/>
    </row>
    <row r="129" spans="3:13" x14ac:dyDescent="0.2">
      <c r="D129" s="44" t="str">
        <f>IF($F$6="Flanders","","Not applicable in this region")</f>
        <v>Not applicable in this region</v>
      </c>
      <c r="F129" s="49"/>
      <c r="H129" s="50"/>
      <c r="J129" s="56"/>
    </row>
    <row r="130" spans="3:13" ht="25.5" x14ac:dyDescent="0.2">
      <c r="E130" s="66" t="s">
        <v>90</v>
      </c>
      <c r="F130" s="60" t="s">
        <v>127</v>
      </c>
      <c r="G130" s="67"/>
      <c r="H130" s="68" t="s">
        <v>87</v>
      </c>
      <c r="I130" s="67"/>
      <c r="J130" s="69" t="s">
        <v>88</v>
      </c>
      <c r="K130" s="67"/>
      <c r="L130" s="65"/>
      <c r="M130" s="45" t="s">
        <v>91</v>
      </c>
    </row>
    <row r="131" spans="3:13" x14ac:dyDescent="0.2">
      <c r="E131" s="62" t="s">
        <v>5</v>
      </c>
      <c r="F131" s="46" t="str">
        <f>IF($F$6&lt;&gt;"Flanders","",IF(Data!H73&lt;1000,Data!H73,0))</f>
        <v/>
      </c>
      <c r="G131" s="23" t="str">
        <f>IF($F$6&lt;&gt;"Flanders","","MWh *")</f>
        <v/>
      </c>
      <c r="H131" s="47" t="str">
        <f>IF($F$6&lt;&gt;"Flanders","",'Results I'!$D$39)</f>
        <v/>
      </c>
      <c r="I131" s="23" t="str">
        <f>IF($F$6&lt;&gt;"Flanders","","€/MWh =")</f>
        <v/>
      </c>
      <c r="J131" s="48" t="str">
        <f>IF($F$6&lt;&gt;"Flanders","",F131*H131*M131)</f>
        <v/>
      </c>
      <c r="K131" s="24" t="str">
        <f>IF($F$6&lt;&gt;"Flanders","","€")</f>
        <v/>
      </c>
      <c r="M131" s="70" t="str">
        <f>IF($F$6&lt;&gt;"Flanders","",1)</f>
        <v/>
      </c>
    </row>
    <row r="132" spans="3:13" x14ac:dyDescent="0.2">
      <c r="E132" s="62" t="s">
        <v>6</v>
      </c>
      <c r="F132" s="46" t="str">
        <f>IF($F$6&lt;&gt;"Flanders","",IF(AND(1000&lt;=Data!H73,Data!H73&lt;20000),Data!H73,0))</f>
        <v/>
      </c>
      <c r="G132" s="23" t="str">
        <f>IF($F$6&lt;&gt;"Flanders","","MWh *")</f>
        <v/>
      </c>
      <c r="H132" s="47" t="str">
        <f>IF($F$6&lt;&gt;"Flanders","",'Results I'!$D$39)</f>
        <v/>
      </c>
      <c r="I132" s="23" t="str">
        <f>IF($F$6&lt;&gt;"Flanders","","€/MWh =")</f>
        <v/>
      </c>
      <c r="J132" s="48" t="str">
        <f>IF($F$6&lt;&gt;"Flanders","",F132*H132*M132)</f>
        <v/>
      </c>
      <c r="K132" s="24" t="str">
        <f>IF($F$6&lt;&gt;"Flanders","","€")</f>
        <v/>
      </c>
      <c r="M132" s="70" t="str">
        <f>IF($F$6&lt;&gt;"Flanders","",0.53)</f>
        <v/>
      </c>
    </row>
    <row r="133" spans="3:13" x14ac:dyDescent="0.2">
      <c r="E133" s="62" t="s">
        <v>7</v>
      </c>
      <c r="F133" s="46" t="str">
        <f>IF($F$6&lt;&gt;"Flanders","",IF(AND(20000&lt;=Data!H73,Data!H73&lt;100000),Data!H73,0))</f>
        <v/>
      </c>
      <c r="G133" s="23" t="str">
        <f>IF($F$6&lt;&gt;"Flanders","","MWh *")</f>
        <v/>
      </c>
      <c r="H133" s="47" t="str">
        <f>IF($F$6&lt;&gt;"Flanders","",'Results I'!$D$39)</f>
        <v/>
      </c>
      <c r="I133" s="23" t="str">
        <f>IF($F$6&lt;&gt;"Flanders","","€/MWh =")</f>
        <v/>
      </c>
      <c r="J133" s="48" t="str">
        <f>IF($F$6&lt;&gt;"Flanders","",F133*H133*M133)</f>
        <v/>
      </c>
      <c r="K133" s="24" t="str">
        <f>IF($F$6&lt;&gt;"Flanders","","€")</f>
        <v/>
      </c>
      <c r="M133" s="70" t="str">
        <f>IF($F$6&lt;&gt;"Flanders","",0.2)</f>
        <v/>
      </c>
    </row>
    <row r="134" spans="3:13" x14ac:dyDescent="0.2">
      <c r="E134" s="62" t="s">
        <v>8</v>
      </c>
      <c r="F134" s="46" t="str">
        <f>IF($F$6&lt;&gt;"Flanders","",IF(AND(100000&lt;=Data!H73,Data!H73&lt;250000),Data!H73,0))</f>
        <v/>
      </c>
      <c r="G134" s="23" t="str">
        <f>IF($F$6&lt;&gt;"Flanders","","MWh *")</f>
        <v/>
      </c>
      <c r="H134" s="47" t="str">
        <f>IF($F$6&lt;&gt;"Flanders","",'Results I'!$D$39)</f>
        <v/>
      </c>
      <c r="I134" s="23" t="str">
        <f>IF($F$6&lt;&gt;"Flanders","","€/MWh =")</f>
        <v/>
      </c>
      <c r="J134" s="48" t="str">
        <f>IF($F$6&lt;&gt;"Flanders","",F134*H134*M134)</f>
        <v/>
      </c>
      <c r="K134" s="24" t="str">
        <f>IF($F$6&lt;&gt;"Flanders","","€")</f>
        <v/>
      </c>
      <c r="M134" s="70" t="str">
        <f>IF($F$6&lt;&gt;"Flanders","",0.2)</f>
        <v/>
      </c>
    </row>
    <row r="135" spans="3:13" x14ac:dyDescent="0.2">
      <c r="E135" s="62" t="s">
        <v>9</v>
      </c>
      <c r="F135" s="46" t="str">
        <f>IF($F$6&lt;&gt;"Flanders","",IF(250000&lt;=Data!H73,Data!H73,0))</f>
        <v/>
      </c>
      <c r="G135" s="23" t="str">
        <f>IF($F$6&lt;&gt;"Flanders","","MWh *")</f>
        <v/>
      </c>
      <c r="H135" s="47" t="str">
        <f>IF($F$6&lt;&gt;"Flanders","",'Results I'!$D$39)</f>
        <v/>
      </c>
      <c r="I135" s="23" t="str">
        <f>IF($F$6&lt;&gt;"Flanders","","€/MWh =")</f>
        <v/>
      </c>
      <c r="J135" s="48" t="str">
        <f>IF($F$6&lt;&gt;"Flanders","",F135*H135*M135)</f>
        <v/>
      </c>
      <c r="K135" s="24" t="str">
        <f>IF($F$6&lt;&gt;"Flanders","","€")</f>
        <v/>
      </c>
      <c r="M135" s="70" t="str">
        <f>IF($F$6&lt;&gt;"Flanders","",0.02)</f>
        <v/>
      </c>
    </row>
    <row r="136" spans="3:13" ht="13.5" thickBot="1" x14ac:dyDescent="0.25">
      <c r="F136" s="49"/>
      <c r="H136" s="50"/>
      <c r="J136" s="56"/>
    </row>
    <row r="137" spans="3:13" ht="13.5" thickBot="1" x14ac:dyDescent="0.25">
      <c r="E137" s="163" t="s">
        <v>111</v>
      </c>
      <c r="F137" s="163"/>
      <c r="G137" s="163"/>
      <c r="H137" s="163"/>
      <c r="I137" s="164"/>
      <c r="J137" s="63">
        <f>SUM(J131:J135)</f>
        <v>0</v>
      </c>
      <c r="K137" s="64" t="s">
        <v>2</v>
      </c>
    </row>
    <row r="138" spans="3:13" x14ac:dyDescent="0.2">
      <c r="F138" s="49"/>
      <c r="H138" s="50"/>
      <c r="J138" s="56"/>
    </row>
    <row r="139" spans="3:13" x14ac:dyDescent="0.2">
      <c r="C139" s="17" t="s">
        <v>174</v>
      </c>
      <c r="F139" s="49"/>
      <c r="H139" s="50"/>
      <c r="J139" s="56"/>
    </row>
    <row r="140" spans="3:13" x14ac:dyDescent="0.2">
      <c r="D140" s="44" t="str">
        <f>IF($F$6="Flanders","","Not applicable in this region")</f>
        <v>Not applicable in this region</v>
      </c>
      <c r="F140" s="49"/>
      <c r="H140" s="50"/>
      <c r="J140" s="56"/>
    </row>
    <row r="141" spans="3:13" x14ac:dyDescent="0.2">
      <c r="F141" s="60" t="s">
        <v>125</v>
      </c>
      <c r="H141" s="136" t="s">
        <v>87</v>
      </c>
      <c r="J141" s="61" t="s">
        <v>88</v>
      </c>
    </row>
    <row r="142" spans="3:13" x14ac:dyDescent="0.2">
      <c r="E142" s="62" t="s">
        <v>67</v>
      </c>
      <c r="F142" s="46" t="str">
        <f>IF($F$6&lt;&gt;"Flanders","",Data!H61)</f>
        <v/>
      </c>
      <c r="G142" s="23" t="str">
        <f t="shared" ref="G142:G153" si="10">IF($F$6&lt;&gt;"Flanders","","MWh *")</f>
        <v/>
      </c>
      <c r="H142" s="47" t="str">
        <f>IF($F$6&lt;&gt;"Flanders","",'Results I'!$D$42)</f>
        <v/>
      </c>
      <c r="I142" s="23" t="str">
        <f t="shared" ref="I142:I153" si="11">IF($F$6&lt;&gt;"Flanders","","€/MWh =")</f>
        <v/>
      </c>
      <c r="J142" s="48" t="str">
        <f t="shared" ref="J142:J153" si="12">IF($F$6&lt;&gt;"Flanders","",F142*H142)</f>
        <v/>
      </c>
      <c r="K142" s="24" t="str">
        <f t="shared" ref="K142:K153" si="13">IF($F$6&lt;&gt;"Flanders","","€")</f>
        <v/>
      </c>
    </row>
    <row r="143" spans="3:13" x14ac:dyDescent="0.2">
      <c r="E143" s="62" t="s">
        <v>68</v>
      </c>
      <c r="F143" s="51" t="str">
        <f>IF($F$6&lt;&gt;"Flanders","",Data!H62)</f>
        <v/>
      </c>
      <c r="G143" s="52" t="str">
        <f t="shared" si="10"/>
        <v/>
      </c>
      <c r="H143" s="53" t="str">
        <f>IF($F$6&lt;&gt;"Flanders","",'Results I'!$D$42)</f>
        <v/>
      </c>
      <c r="I143" s="52" t="str">
        <f t="shared" si="11"/>
        <v/>
      </c>
      <c r="J143" s="54" t="str">
        <f t="shared" si="12"/>
        <v/>
      </c>
      <c r="K143" s="55" t="str">
        <f t="shared" si="13"/>
        <v/>
      </c>
    </row>
    <row r="144" spans="3:13" x14ac:dyDescent="0.2">
      <c r="E144" s="62" t="s">
        <v>69</v>
      </c>
      <c r="F144" s="46" t="str">
        <f>IF($F$6&lt;&gt;"Flanders","",Data!H63)</f>
        <v/>
      </c>
      <c r="G144" s="23" t="str">
        <f t="shared" si="10"/>
        <v/>
      </c>
      <c r="H144" s="47" t="str">
        <f>IF($F$6&lt;&gt;"Flanders","",'Results I'!$D$42)</f>
        <v/>
      </c>
      <c r="I144" s="23" t="str">
        <f t="shared" si="11"/>
        <v/>
      </c>
      <c r="J144" s="48" t="str">
        <f t="shared" si="12"/>
        <v/>
      </c>
      <c r="K144" s="24" t="str">
        <f t="shared" si="13"/>
        <v/>
      </c>
    </row>
    <row r="145" spans="3:11" x14ac:dyDescent="0.2">
      <c r="E145" s="62" t="s">
        <v>70</v>
      </c>
      <c r="F145" s="51" t="str">
        <f>IF($F$6&lt;&gt;"Flanders","",Data!H64)</f>
        <v/>
      </c>
      <c r="G145" s="52" t="str">
        <f t="shared" si="10"/>
        <v/>
      </c>
      <c r="H145" s="53" t="str">
        <f>IF($F$6&lt;&gt;"Flanders","",'Results I'!$D$42)</f>
        <v/>
      </c>
      <c r="I145" s="52" t="str">
        <f t="shared" si="11"/>
        <v/>
      </c>
      <c r="J145" s="54" t="str">
        <f t="shared" si="12"/>
        <v/>
      </c>
      <c r="K145" s="55" t="str">
        <f t="shared" si="13"/>
        <v/>
      </c>
    </row>
    <row r="146" spans="3:11" x14ac:dyDescent="0.2">
      <c r="E146" s="62" t="s">
        <v>71</v>
      </c>
      <c r="F146" s="46" t="str">
        <f>IF($F$6&lt;&gt;"Flanders","",Data!H65)</f>
        <v/>
      </c>
      <c r="G146" s="23" t="str">
        <f t="shared" si="10"/>
        <v/>
      </c>
      <c r="H146" s="47" t="str">
        <f>IF($F$6&lt;&gt;"Flanders","",'Results I'!$D$42)</f>
        <v/>
      </c>
      <c r="I146" s="23" t="str">
        <f t="shared" si="11"/>
        <v/>
      </c>
      <c r="J146" s="48" t="str">
        <f t="shared" si="12"/>
        <v/>
      </c>
      <c r="K146" s="24" t="str">
        <f t="shared" si="13"/>
        <v/>
      </c>
    </row>
    <row r="147" spans="3:11" x14ac:dyDescent="0.2">
      <c r="E147" s="62" t="s">
        <v>72</v>
      </c>
      <c r="F147" s="51" t="str">
        <f>IF($F$6&lt;&gt;"Flanders","",Data!H66)</f>
        <v/>
      </c>
      <c r="G147" s="52" t="str">
        <f t="shared" si="10"/>
        <v/>
      </c>
      <c r="H147" s="53" t="str">
        <f>IF($F$6&lt;&gt;"Flanders","",'Results I'!$D$42)</f>
        <v/>
      </c>
      <c r="I147" s="52" t="str">
        <f t="shared" si="11"/>
        <v/>
      </c>
      <c r="J147" s="54" t="str">
        <f t="shared" si="12"/>
        <v/>
      </c>
      <c r="K147" s="55" t="str">
        <f t="shared" si="13"/>
        <v/>
      </c>
    </row>
    <row r="148" spans="3:11" x14ac:dyDescent="0.2">
      <c r="E148" s="62" t="s">
        <v>73</v>
      </c>
      <c r="F148" s="46" t="str">
        <f>IF($F$6&lt;&gt;"Flanders","",Data!H67)</f>
        <v/>
      </c>
      <c r="G148" s="23" t="str">
        <f t="shared" si="10"/>
        <v/>
      </c>
      <c r="H148" s="47" t="str">
        <f>IF($F$6&lt;&gt;"Flanders","",'Results I'!$D$42)</f>
        <v/>
      </c>
      <c r="I148" s="23" t="str">
        <f t="shared" si="11"/>
        <v/>
      </c>
      <c r="J148" s="48" t="str">
        <f t="shared" si="12"/>
        <v/>
      </c>
      <c r="K148" s="24" t="str">
        <f t="shared" si="13"/>
        <v/>
      </c>
    </row>
    <row r="149" spans="3:11" x14ac:dyDescent="0.2">
      <c r="E149" s="62" t="s">
        <v>74</v>
      </c>
      <c r="F149" s="51" t="str">
        <f>IF($F$6&lt;&gt;"Flanders","",Data!H68)</f>
        <v/>
      </c>
      <c r="G149" s="52" t="str">
        <f t="shared" si="10"/>
        <v/>
      </c>
      <c r="H149" s="53" t="str">
        <f>IF($F$6&lt;&gt;"Flanders","",'Results I'!$D$42)</f>
        <v/>
      </c>
      <c r="I149" s="52" t="str">
        <f t="shared" si="11"/>
        <v/>
      </c>
      <c r="J149" s="54" t="str">
        <f t="shared" si="12"/>
        <v/>
      </c>
      <c r="K149" s="55" t="str">
        <f t="shared" si="13"/>
        <v/>
      </c>
    </row>
    <row r="150" spans="3:11" x14ac:dyDescent="0.2">
      <c r="E150" s="62" t="s">
        <v>75</v>
      </c>
      <c r="F150" s="46" t="str">
        <f>IF($F$6&lt;&gt;"Flanders","",Data!H69)</f>
        <v/>
      </c>
      <c r="G150" s="23" t="str">
        <f t="shared" si="10"/>
        <v/>
      </c>
      <c r="H150" s="47" t="str">
        <f>IF($F$6&lt;&gt;"Flanders","",'Results I'!$D$42)</f>
        <v/>
      </c>
      <c r="I150" s="23" t="str">
        <f t="shared" si="11"/>
        <v/>
      </c>
      <c r="J150" s="48" t="str">
        <f t="shared" si="12"/>
        <v/>
      </c>
      <c r="K150" s="24" t="str">
        <f t="shared" si="13"/>
        <v/>
      </c>
    </row>
    <row r="151" spans="3:11" x14ac:dyDescent="0.2">
      <c r="E151" s="62" t="s">
        <v>76</v>
      </c>
      <c r="F151" s="51" t="str">
        <f>IF($F$6&lt;&gt;"Flanders","",Data!H70)</f>
        <v/>
      </c>
      <c r="G151" s="52" t="str">
        <f t="shared" si="10"/>
        <v/>
      </c>
      <c r="H151" s="53" t="str">
        <f>IF($F$6&lt;&gt;"Flanders","",'Results I'!$D$42)</f>
        <v/>
      </c>
      <c r="I151" s="52" t="str">
        <f t="shared" si="11"/>
        <v/>
      </c>
      <c r="J151" s="54" t="str">
        <f t="shared" si="12"/>
        <v/>
      </c>
      <c r="K151" s="55" t="str">
        <f t="shared" si="13"/>
        <v/>
      </c>
    </row>
    <row r="152" spans="3:11" x14ac:dyDescent="0.2">
      <c r="E152" s="62" t="s">
        <v>77</v>
      </c>
      <c r="F152" s="46" t="str">
        <f>IF($F$6&lt;&gt;"Flanders","",Data!H71)</f>
        <v/>
      </c>
      <c r="G152" s="23" t="str">
        <f t="shared" si="10"/>
        <v/>
      </c>
      <c r="H152" s="47" t="str">
        <f>IF($F$6&lt;&gt;"Flanders","",'Results I'!$D$42)</f>
        <v/>
      </c>
      <c r="I152" s="23" t="str">
        <f t="shared" si="11"/>
        <v/>
      </c>
      <c r="J152" s="48" t="str">
        <f t="shared" si="12"/>
        <v/>
      </c>
      <c r="K152" s="24" t="str">
        <f t="shared" si="13"/>
        <v/>
      </c>
    </row>
    <row r="153" spans="3:11" x14ac:dyDescent="0.2">
      <c r="E153" s="62" t="s">
        <v>78</v>
      </c>
      <c r="F153" s="51" t="str">
        <f>IF($F$6&lt;&gt;"Flanders","",Data!H72)</f>
        <v/>
      </c>
      <c r="G153" s="52" t="str">
        <f t="shared" si="10"/>
        <v/>
      </c>
      <c r="H153" s="53" t="str">
        <f>IF($F$6&lt;&gt;"Flanders","",'Results I'!$D$42)</f>
        <v/>
      </c>
      <c r="I153" s="52" t="str">
        <f t="shared" si="11"/>
        <v/>
      </c>
      <c r="J153" s="54" t="str">
        <f t="shared" si="12"/>
        <v/>
      </c>
      <c r="K153" s="55" t="str">
        <f t="shared" si="13"/>
        <v/>
      </c>
    </row>
    <row r="154" spans="3:11" ht="13.5" thickBot="1" x14ac:dyDescent="0.25">
      <c r="F154" s="49"/>
      <c r="H154" s="50"/>
      <c r="J154" s="56"/>
    </row>
    <row r="155" spans="3:11" ht="13.5" thickBot="1" x14ac:dyDescent="0.25">
      <c r="F155" s="65"/>
      <c r="G155" s="65"/>
      <c r="H155" s="65"/>
      <c r="I155" s="57" t="s">
        <v>112</v>
      </c>
      <c r="J155" s="63">
        <f>SUM(J142:J153)</f>
        <v>0</v>
      </c>
      <c r="K155" s="64" t="s">
        <v>2</v>
      </c>
    </row>
    <row r="156" spans="3:11" x14ac:dyDescent="0.2">
      <c r="F156" s="49"/>
      <c r="H156" s="50"/>
      <c r="J156" s="56"/>
    </row>
    <row r="157" spans="3:11" x14ac:dyDescent="0.2">
      <c r="C157" s="17" t="s">
        <v>175</v>
      </c>
      <c r="F157" s="49"/>
      <c r="H157" s="50"/>
      <c r="J157" s="56"/>
    </row>
    <row r="158" spans="3:11" x14ac:dyDescent="0.2">
      <c r="D158" s="44" t="str">
        <f>IF($F$6="Wallonia","","Not applicable in this region")</f>
        <v>Not applicable in this region</v>
      </c>
      <c r="F158" s="49"/>
      <c r="H158" s="50"/>
      <c r="J158" s="56"/>
    </row>
    <row r="159" spans="3:11" x14ac:dyDescent="0.2">
      <c r="D159" s="139"/>
      <c r="F159" s="49"/>
      <c r="H159" s="50"/>
      <c r="J159" s="56"/>
    </row>
    <row r="160" spans="3:11" x14ac:dyDescent="0.2">
      <c r="D160" s="17" t="s">
        <v>176</v>
      </c>
      <c r="F160" s="49"/>
      <c r="H160" s="50"/>
      <c r="J160" s="56"/>
    </row>
    <row r="161" spans="4:11" hidden="1" x14ac:dyDescent="0.2">
      <c r="D161" s="139"/>
      <c r="F161" s="49"/>
      <c r="H161" s="50"/>
      <c r="J161" s="56"/>
    </row>
    <row r="162" spans="4:11" ht="25.5" x14ac:dyDescent="0.2">
      <c r="F162" s="60" t="s">
        <v>125</v>
      </c>
      <c r="H162" s="45" t="s">
        <v>93</v>
      </c>
      <c r="J162" s="61" t="s">
        <v>88</v>
      </c>
    </row>
    <row r="163" spans="4:11" x14ac:dyDescent="0.2">
      <c r="E163" s="62" t="s">
        <v>67</v>
      </c>
      <c r="F163" s="46" t="str">
        <f>IF($F$6&lt;&gt;"Wallonia","",Data!H61)</f>
        <v/>
      </c>
      <c r="G163" s="23" t="str">
        <f t="shared" ref="G163:G174" si="14">IF($F$6&lt;&gt;"Wallonia","","MWh *")</f>
        <v/>
      </c>
      <c r="H163" s="47" t="str">
        <f>IF($F$6&lt;&gt;"Wallonia","",'Results I'!$D$46)</f>
        <v/>
      </c>
      <c r="I163" s="23" t="str">
        <f t="shared" ref="I163:I174" si="15">IF($F$6&lt;&gt;"Wallonia","","€/MWh =")</f>
        <v/>
      </c>
      <c r="J163" s="48" t="str">
        <f>IF($F$6&lt;&gt;"Wallonia","",F163*H163)</f>
        <v/>
      </c>
      <c r="K163" s="24" t="str">
        <f t="shared" ref="K163:K174" si="16">IF($F$6&lt;&gt;"Wallonia","","€")</f>
        <v/>
      </c>
    </row>
    <row r="164" spans="4:11" x14ac:dyDescent="0.2">
      <c r="E164" s="62" t="s">
        <v>68</v>
      </c>
      <c r="F164" s="51" t="str">
        <f>IF($F$6&lt;&gt;"Wallonia","",Data!H62)</f>
        <v/>
      </c>
      <c r="G164" s="52" t="str">
        <f t="shared" si="14"/>
        <v/>
      </c>
      <c r="H164" s="53" t="str">
        <f>IF($F$6&lt;&gt;"Wallonia","",'Results I'!$D$46)</f>
        <v/>
      </c>
      <c r="I164" s="52" t="str">
        <f t="shared" si="15"/>
        <v/>
      </c>
      <c r="J164" s="54" t="str">
        <f t="shared" ref="J164:J174" si="17">IF($F$6&lt;&gt;"Wallonia","",F164*H164)</f>
        <v/>
      </c>
      <c r="K164" s="55" t="str">
        <f t="shared" si="16"/>
        <v/>
      </c>
    </row>
    <row r="165" spans="4:11" x14ac:dyDescent="0.2">
      <c r="E165" s="62" t="s">
        <v>69</v>
      </c>
      <c r="F165" s="46" t="str">
        <f>IF($F$6&lt;&gt;"Wallonia","",Data!H63)</f>
        <v/>
      </c>
      <c r="G165" s="23" t="str">
        <f t="shared" si="14"/>
        <v/>
      </c>
      <c r="H165" s="47" t="str">
        <f>IF($F$6&lt;&gt;"Wallonia","",'Results I'!$D$46)</f>
        <v/>
      </c>
      <c r="I165" s="23" t="str">
        <f t="shared" si="15"/>
        <v/>
      </c>
      <c r="J165" s="48" t="str">
        <f t="shared" si="17"/>
        <v/>
      </c>
      <c r="K165" s="24" t="str">
        <f t="shared" si="16"/>
        <v/>
      </c>
    </row>
    <row r="166" spans="4:11" x14ac:dyDescent="0.2">
      <c r="E166" s="62" t="s">
        <v>70</v>
      </c>
      <c r="F166" s="51" t="str">
        <f>IF($F$6&lt;&gt;"Wallonia","",Data!H64)</f>
        <v/>
      </c>
      <c r="G166" s="52" t="str">
        <f t="shared" si="14"/>
        <v/>
      </c>
      <c r="H166" s="53" t="str">
        <f>IF($F$6&lt;&gt;"Wallonia","",'Results I'!$D$46)</f>
        <v/>
      </c>
      <c r="I166" s="52" t="str">
        <f t="shared" si="15"/>
        <v/>
      </c>
      <c r="J166" s="54" t="str">
        <f t="shared" si="17"/>
        <v/>
      </c>
      <c r="K166" s="55" t="str">
        <f t="shared" si="16"/>
        <v/>
      </c>
    </row>
    <row r="167" spans="4:11" x14ac:dyDescent="0.2">
      <c r="E167" s="62" t="s">
        <v>71</v>
      </c>
      <c r="F167" s="46" t="str">
        <f>IF($F$6&lt;&gt;"Wallonia","",Data!H65)</f>
        <v/>
      </c>
      <c r="G167" s="23" t="str">
        <f t="shared" si="14"/>
        <v/>
      </c>
      <c r="H167" s="47" t="str">
        <f>IF($F$6&lt;&gt;"Wallonia","",'Results I'!$D$46)</f>
        <v/>
      </c>
      <c r="I167" s="23" t="str">
        <f t="shared" si="15"/>
        <v/>
      </c>
      <c r="J167" s="48" t="str">
        <f t="shared" si="17"/>
        <v/>
      </c>
      <c r="K167" s="24" t="str">
        <f t="shared" si="16"/>
        <v/>
      </c>
    </row>
    <row r="168" spans="4:11" x14ac:dyDescent="0.2">
      <c r="E168" s="62" t="s">
        <v>72</v>
      </c>
      <c r="F168" s="51" t="str">
        <f>IF($F$6&lt;&gt;"Wallonia","",Data!H66)</f>
        <v/>
      </c>
      <c r="G168" s="52" t="str">
        <f t="shared" si="14"/>
        <v/>
      </c>
      <c r="H168" s="53" t="str">
        <f>IF($F$6&lt;&gt;"Wallonia","",'Results I'!$D$46)</f>
        <v/>
      </c>
      <c r="I168" s="52" t="str">
        <f t="shared" si="15"/>
        <v/>
      </c>
      <c r="J168" s="54" t="str">
        <f t="shared" si="17"/>
        <v/>
      </c>
      <c r="K168" s="55" t="str">
        <f t="shared" si="16"/>
        <v/>
      </c>
    </row>
    <row r="169" spans="4:11" x14ac:dyDescent="0.2">
      <c r="E169" s="62" t="s">
        <v>73</v>
      </c>
      <c r="F169" s="46" t="str">
        <f>IF($F$6&lt;&gt;"Wallonia","",Data!H67)</f>
        <v/>
      </c>
      <c r="G169" s="23" t="str">
        <f t="shared" si="14"/>
        <v/>
      </c>
      <c r="H169" s="47" t="str">
        <f>IF($F$6&lt;&gt;"Wallonia","",'Results I'!$D$46)</f>
        <v/>
      </c>
      <c r="I169" s="23" t="str">
        <f t="shared" si="15"/>
        <v/>
      </c>
      <c r="J169" s="48" t="str">
        <f t="shared" si="17"/>
        <v/>
      </c>
      <c r="K169" s="24" t="str">
        <f t="shared" si="16"/>
        <v/>
      </c>
    </row>
    <row r="170" spans="4:11" x14ac:dyDescent="0.2">
      <c r="E170" s="62" t="s">
        <v>74</v>
      </c>
      <c r="F170" s="51" t="str">
        <f>IF($F$6&lt;&gt;"Wallonia","",Data!H68)</f>
        <v/>
      </c>
      <c r="G170" s="52" t="str">
        <f t="shared" si="14"/>
        <v/>
      </c>
      <c r="H170" s="53" t="str">
        <f>IF($F$6&lt;&gt;"Wallonia","",'Results I'!$D$46)</f>
        <v/>
      </c>
      <c r="I170" s="52" t="str">
        <f t="shared" si="15"/>
        <v/>
      </c>
      <c r="J170" s="54" t="str">
        <f t="shared" si="17"/>
        <v/>
      </c>
      <c r="K170" s="55" t="str">
        <f t="shared" si="16"/>
        <v/>
      </c>
    </row>
    <row r="171" spans="4:11" x14ac:dyDescent="0.2">
      <c r="E171" s="62" t="s">
        <v>75</v>
      </c>
      <c r="F171" s="46" t="str">
        <f>IF($F$6&lt;&gt;"Wallonia","",Data!H69)</f>
        <v/>
      </c>
      <c r="G171" s="23" t="str">
        <f t="shared" si="14"/>
        <v/>
      </c>
      <c r="H171" s="47" t="str">
        <f>IF($F$6&lt;&gt;"Wallonia","",'Results I'!$D$46)</f>
        <v/>
      </c>
      <c r="I171" s="23" t="str">
        <f t="shared" si="15"/>
        <v/>
      </c>
      <c r="J171" s="48" t="str">
        <f t="shared" si="17"/>
        <v/>
      </c>
      <c r="K171" s="24" t="str">
        <f t="shared" si="16"/>
        <v/>
      </c>
    </row>
    <row r="172" spans="4:11" x14ac:dyDescent="0.2">
      <c r="E172" s="62" t="s">
        <v>76</v>
      </c>
      <c r="F172" s="51" t="str">
        <f>IF($F$6&lt;&gt;"Wallonia","",Data!H70)</f>
        <v/>
      </c>
      <c r="G172" s="52" t="str">
        <f t="shared" si="14"/>
        <v/>
      </c>
      <c r="H172" s="53" t="str">
        <f>IF($F$6&lt;&gt;"Wallonia","",'Results I'!$D$46)</f>
        <v/>
      </c>
      <c r="I172" s="52" t="str">
        <f t="shared" si="15"/>
        <v/>
      </c>
      <c r="J172" s="54" t="str">
        <f t="shared" si="17"/>
        <v/>
      </c>
      <c r="K172" s="55" t="str">
        <f t="shared" si="16"/>
        <v/>
      </c>
    </row>
    <row r="173" spans="4:11" x14ac:dyDescent="0.2">
      <c r="E173" s="62" t="s">
        <v>77</v>
      </c>
      <c r="F173" s="46" t="str">
        <f>IF($F$6&lt;&gt;"Wallonia","",Data!H71)</f>
        <v/>
      </c>
      <c r="G173" s="23" t="str">
        <f t="shared" si="14"/>
        <v/>
      </c>
      <c r="H173" s="47" t="str">
        <f>IF($F$6&lt;&gt;"Wallonia","",'Results I'!$D$46)</f>
        <v/>
      </c>
      <c r="I173" s="23" t="str">
        <f t="shared" si="15"/>
        <v/>
      </c>
      <c r="J173" s="48" t="str">
        <f t="shared" si="17"/>
        <v/>
      </c>
      <c r="K173" s="24" t="str">
        <f t="shared" si="16"/>
        <v/>
      </c>
    </row>
    <row r="174" spans="4:11" x14ac:dyDescent="0.2">
      <c r="E174" s="62" t="s">
        <v>78</v>
      </c>
      <c r="F174" s="51" t="str">
        <f>IF($F$6&lt;&gt;"Wallonia","",Data!H72)</f>
        <v/>
      </c>
      <c r="G174" s="52" t="str">
        <f t="shared" si="14"/>
        <v/>
      </c>
      <c r="H174" s="53" t="str">
        <f>IF($F$6&lt;&gt;"Wallonia","",'Results I'!$D$46)</f>
        <v/>
      </c>
      <c r="I174" s="52" t="str">
        <f t="shared" si="15"/>
        <v/>
      </c>
      <c r="J174" s="54" t="str">
        <f t="shared" si="17"/>
        <v/>
      </c>
      <c r="K174" s="55" t="str">
        <f t="shared" si="16"/>
        <v/>
      </c>
    </row>
    <row r="175" spans="4:11" ht="13.5" thickBot="1" x14ac:dyDescent="0.25">
      <c r="F175" s="49"/>
      <c r="H175" s="50"/>
      <c r="J175" s="56"/>
    </row>
    <row r="176" spans="4:11" ht="13.5" thickBot="1" x14ac:dyDescent="0.25">
      <c r="E176" s="165" t="s">
        <v>111</v>
      </c>
      <c r="F176" s="165"/>
      <c r="G176" s="165"/>
      <c r="H176" s="165"/>
      <c r="I176" s="166"/>
      <c r="J176" s="63">
        <f>SUM(J163:J174)</f>
        <v>0</v>
      </c>
      <c r="K176" s="64" t="s">
        <v>2</v>
      </c>
    </row>
    <row r="177" spans="4:13" ht="13.5" thickBot="1" x14ac:dyDescent="0.25">
      <c r="F177" s="49"/>
      <c r="H177" s="50"/>
      <c r="J177" s="56"/>
    </row>
    <row r="178" spans="4:13" ht="13.5" thickBot="1" x14ac:dyDescent="0.25">
      <c r="F178" s="49"/>
      <c r="H178" s="50"/>
      <c r="I178" s="57" t="s">
        <v>113</v>
      </c>
      <c r="J178" s="58">
        <f>J137+J155+J176</f>
        <v>0</v>
      </c>
      <c r="K178" s="59" t="s">
        <v>2</v>
      </c>
    </row>
    <row r="179" spans="4:13" x14ac:dyDescent="0.2">
      <c r="F179" s="49"/>
      <c r="H179" s="50"/>
      <c r="J179" s="56"/>
    </row>
    <row r="180" spans="4:13" x14ac:dyDescent="0.2">
      <c r="F180" s="49"/>
      <c r="H180" s="50"/>
      <c r="J180" s="56"/>
    </row>
    <row r="181" spans="4:13" x14ac:dyDescent="0.2">
      <c r="F181" s="49"/>
      <c r="H181" s="50"/>
      <c r="J181" s="56"/>
    </row>
    <row r="182" spans="4:13" x14ac:dyDescent="0.2">
      <c r="D182" s="140" t="s">
        <v>159</v>
      </c>
      <c r="F182" s="49"/>
      <c r="H182" s="50"/>
      <c r="J182" s="56"/>
    </row>
    <row r="183" spans="4:13" x14ac:dyDescent="0.2">
      <c r="D183" s="140" t="s">
        <v>155</v>
      </c>
      <c r="F183" s="49"/>
      <c r="H183" s="50"/>
      <c r="J183" s="56"/>
    </row>
    <row r="184" spans="4:13" x14ac:dyDescent="0.2">
      <c r="D184" s="140" t="s">
        <v>156</v>
      </c>
      <c r="F184" s="49"/>
      <c r="H184" s="50"/>
      <c r="J184" s="56"/>
    </row>
    <row r="185" spans="4:13" x14ac:dyDescent="0.2">
      <c r="D185" s="140" t="s">
        <v>157</v>
      </c>
      <c r="F185" s="49"/>
      <c r="H185" s="50"/>
      <c r="J185" s="56"/>
    </row>
    <row r="186" spans="4:13" x14ac:dyDescent="0.2">
      <c r="D186" s="140" t="s">
        <v>160</v>
      </c>
      <c r="F186" s="49"/>
      <c r="H186" s="50"/>
      <c r="J186" s="56"/>
    </row>
    <row r="187" spans="4:13" x14ac:dyDescent="0.2">
      <c r="F187" s="49"/>
      <c r="H187" s="50"/>
      <c r="J187" s="56"/>
    </row>
    <row r="188" spans="4:13" x14ac:dyDescent="0.2">
      <c r="D188" s="17" t="s">
        <v>177</v>
      </c>
      <c r="F188" s="49"/>
      <c r="H188" s="50"/>
      <c r="J188" s="56"/>
    </row>
    <row r="189" spans="4:13" x14ac:dyDescent="0.2">
      <c r="F189" s="49"/>
      <c r="H189" s="50"/>
      <c r="J189" s="56"/>
    </row>
    <row r="190" spans="4:13" ht="25.5" x14ac:dyDescent="0.2">
      <c r="F190" s="60" t="s">
        <v>125</v>
      </c>
      <c r="H190" s="45" t="s">
        <v>93</v>
      </c>
      <c r="J190" s="61" t="s">
        <v>88</v>
      </c>
      <c r="M190" s="101" t="s">
        <v>92</v>
      </c>
    </row>
    <row r="191" spans="4:13" x14ac:dyDescent="0.2">
      <c r="E191" s="62" t="s">
        <v>67</v>
      </c>
      <c r="F191" s="46" t="str">
        <f>IF($F$6&lt;&gt;"Wallonia","",Data!H61)</f>
        <v/>
      </c>
      <c r="G191" s="23" t="str">
        <f t="shared" ref="G191:G202" si="18">IF($F$6&lt;&gt;"Wallonia","","MWh *")</f>
        <v/>
      </c>
      <c r="H191" s="47" t="str">
        <f>IF($F$6&lt;&gt;"Wallonia","",-'Results I'!$D$46*$M$191)</f>
        <v/>
      </c>
      <c r="I191" s="23" t="str">
        <f t="shared" ref="I191:I202" si="19">IF($F$6&lt;&gt;"Wallonia","","€/MWh =")</f>
        <v/>
      </c>
      <c r="J191" s="48" t="str">
        <f t="shared" ref="J191:J202" si="20">IF($F$6&lt;&gt;"Wallonia","",F191*H191)</f>
        <v/>
      </c>
      <c r="K191" s="24" t="str">
        <f t="shared" ref="K191:K202" si="21">IF($F$6&lt;&gt;"Wallonia","","€")</f>
        <v/>
      </c>
      <c r="M191" s="102" t="str">
        <f>IF($F$6&lt;&gt;"Wallonia","",IF($F$8="No",0,IF(#REF!="Yes",0.85,IF($F$9="Other",0,IF($F$9="Culture and animal production (01)",0.5,IF(Data!H73&gt;1000,0.5,0))))))</f>
        <v/>
      </c>
    </row>
    <row r="192" spans="4:13" x14ac:dyDescent="0.2">
      <c r="E192" s="62" t="s">
        <v>68</v>
      </c>
      <c r="F192" s="51" t="str">
        <f>IF($F$6&lt;&gt;"Wallonia","",Data!H62)</f>
        <v/>
      </c>
      <c r="G192" s="52" t="str">
        <f t="shared" si="18"/>
        <v/>
      </c>
      <c r="H192" s="53" t="str">
        <f>IF($F$6&lt;&gt;"Wallonia","",-'Results I'!$D$46*$M$191)</f>
        <v/>
      </c>
      <c r="I192" s="52" t="str">
        <f t="shared" si="19"/>
        <v/>
      </c>
      <c r="J192" s="54" t="str">
        <f t="shared" si="20"/>
        <v/>
      </c>
      <c r="K192" s="55" t="str">
        <f t="shared" si="21"/>
        <v/>
      </c>
    </row>
    <row r="193" spans="4:11" x14ac:dyDescent="0.2">
      <c r="E193" s="62" t="s">
        <v>69</v>
      </c>
      <c r="F193" s="46" t="str">
        <f>IF($F$6&lt;&gt;"Wallonia","",Data!H63)</f>
        <v/>
      </c>
      <c r="G193" s="23" t="str">
        <f t="shared" si="18"/>
        <v/>
      </c>
      <c r="H193" s="47" t="str">
        <f>IF($F$6&lt;&gt;"Wallonia","",-'Results I'!$D$46*$M$191)</f>
        <v/>
      </c>
      <c r="I193" s="23" t="str">
        <f t="shared" si="19"/>
        <v/>
      </c>
      <c r="J193" s="48" t="str">
        <f t="shared" si="20"/>
        <v/>
      </c>
      <c r="K193" s="24" t="str">
        <f t="shared" si="21"/>
        <v/>
      </c>
    </row>
    <row r="194" spans="4:11" x14ac:dyDescent="0.2">
      <c r="E194" s="62" t="s">
        <v>70</v>
      </c>
      <c r="F194" s="51" t="str">
        <f>IF($F$6&lt;&gt;"Wallonia","",Data!H64)</f>
        <v/>
      </c>
      <c r="G194" s="52" t="str">
        <f t="shared" si="18"/>
        <v/>
      </c>
      <c r="H194" s="53" t="str">
        <f>IF($F$6&lt;&gt;"Wallonia","",-'Results I'!$D$46*$M$191)</f>
        <v/>
      </c>
      <c r="I194" s="52" t="str">
        <f t="shared" si="19"/>
        <v/>
      </c>
      <c r="J194" s="54" t="str">
        <f t="shared" si="20"/>
        <v/>
      </c>
      <c r="K194" s="55" t="str">
        <f t="shared" si="21"/>
        <v/>
      </c>
    </row>
    <row r="195" spans="4:11" x14ac:dyDescent="0.2">
      <c r="E195" s="62" t="s">
        <v>71</v>
      </c>
      <c r="F195" s="46" t="str">
        <f>IF($F$6&lt;&gt;"Wallonia","",Data!H65)</f>
        <v/>
      </c>
      <c r="G195" s="23" t="str">
        <f t="shared" si="18"/>
        <v/>
      </c>
      <c r="H195" s="47" t="str">
        <f>IF($F$6&lt;&gt;"Wallonia","",-'Results I'!$D$46*$M$191)</f>
        <v/>
      </c>
      <c r="I195" s="23" t="str">
        <f t="shared" si="19"/>
        <v/>
      </c>
      <c r="J195" s="48" t="str">
        <f t="shared" si="20"/>
        <v/>
      </c>
      <c r="K195" s="24" t="str">
        <f t="shared" si="21"/>
        <v/>
      </c>
    </row>
    <row r="196" spans="4:11" x14ac:dyDescent="0.2">
      <c r="E196" s="62" t="s">
        <v>72</v>
      </c>
      <c r="F196" s="51" t="str">
        <f>IF($F$6&lt;&gt;"Wallonia","",Data!H66)</f>
        <v/>
      </c>
      <c r="G196" s="52" t="str">
        <f t="shared" si="18"/>
        <v/>
      </c>
      <c r="H196" s="53" t="str">
        <f>IF($F$6&lt;&gt;"Wallonia","",-'Results I'!$D$46*$M$191)</f>
        <v/>
      </c>
      <c r="I196" s="52" t="str">
        <f t="shared" si="19"/>
        <v/>
      </c>
      <c r="J196" s="54" t="str">
        <f t="shared" si="20"/>
        <v/>
      </c>
      <c r="K196" s="55" t="str">
        <f t="shared" si="21"/>
        <v/>
      </c>
    </row>
    <row r="197" spans="4:11" x14ac:dyDescent="0.2">
      <c r="E197" s="62" t="s">
        <v>73</v>
      </c>
      <c r="F197" s="46" t="str">
        <f>IF($F$6&lt;&gt;"Wallonia","",Data!H67)</f>
        <v/>
      </c>
      <c r="G197" s="23" t="str">
        <f t="shared" si="18"/>
        <v/>
      </c>
      <c r="H197" s="47" t="str">
        <f>IF($F$6&lt;&gt;"Wallonia","",-'Results I'!$D$46*$M$191)</f>
        <v/>
      </c>
      <c r="I197" s="23" t="str">
        <f t="shared" si="19"/>
        <v/>
      </c>
      <c r="J197" s="48" t="str">
        <f t="shared" si="20"/>
        <v/>
      </c>
      <c r="K197" s="24" t="str">
        <f t="shared" si="21"/>
        <v/>
      </c>
    </row>
    <row r="198" spans="4:11" x14ac:dyDescent="0.2">
      <c r="E198" s="62" t="s">
        <v>74</v>
      </c>
      <c r="F198" s="51" t="str">
        <f>IF($F$6&lt;&gt;"Wallonia","",Data!H68)</f>
        <v/>
      </c>
      <c r="G198" s="52" t="str">
        <f t="shared" si="18"/>
        <v/>
      </c>
      <c r="H198" s="53" t="str">
        <f>IF($F$6&lt;&gt;"Wallonia","",-'Results I'!$D$46*$M$191)</f>
        <v/>
      </c>
      <c r="I198" s="52" t="str">
        <f t="shared" si="19"/>
        <v/>
      </c>
      <c r="J198" s="54" t="str">
        <f t="shared" si="20"/>
        <v/>
      </c>
      <c r="K198" s="55" t="str">
        <f t="shared" si="21"/>
        <v/>
      </c>
    </row>
    <row r="199" spans="4:11" x14ac:dyDescent="0.2">
      <c r="E199" s="62" t="s">
        <v>75</v>
      </c>
      <c r="F199" s="46" t="str">
        <f>IF($F$6&lt;&gt;"Wallonia","",Data!H69)</f>
        <v/>
      </c>
      <c r="G199" s="23" t="str">
        <f t="shared" si="18"/>
        <v/>
      </c>
      <c r="H199" s="47" t="str">
        <f>IF($F$6&lt;&gt;"Wallonia","",-'Results I'!$D$46*$M$191)</f>
        <v/>
      </c>
      <c r="I199" s="23" t="str">
        <f t="shared" si="19"/>
        <v/>
      </c>
      <c r="J199" s="48" t="str">
        <f t="shared" si="20"/>
        <v/>
      </c>
      <c r="K199" s="24" t="str">
        <f t="shared" si="21"/>
        <v/>
      </c>
    </row>
    <row r="200" spans="4:11" x14ac:dyDescent="0.2">
      <c r="E200" s="62" t="s">
        <v>76</v>
      </c>
      <c r="F200" s="51" t="str">
        <f>IF($F$6&lt;&gt;"Wallonia","",Data!H70)</f>
        <v/>
      </c>
      <c r="G200" s="52" t="str">
        <f t="shared" si="18"/>
        <v/>
      </c>
      <c r="H200" s="53" t="str">
        <f>IF($F$6&lt;&gt;"Wallonia","",-'Results I'!$D$46*$M$191)</f>
        <v/>
      </c>
      <c r="I200" s="52" t="str">
        <f t="shared" si="19"/>
        <v/>
      </c>
      <c r="J200" s="54" t="str">
        <f t="shared" si="20"/>
        <v/>
      </c>
      <c r="K200" s="55" t="str">
        <f t="shared" si="21"/>
        <v/>
      </c>
    </row>
    <row r="201" spans="4:11" x14ac:dyDescent="0.2">
      <c r="E201" s="62" t="s">
        <v>77</v>
      </c>
      <c r="F201" s="46" t="str">
        <f>IF($F$6&lt;&gt;"Wallonia","",Data!H71)</f>
        <v/>
      </c>
      <c r="G201" s="23" t="str">
        <f t="shared" si="18"/>
        <v/>
      </c>
      <c r="H201" s="47" t="str">
        <f>IF($F$6&lt;&gt;"Wallonia","",-'Results I'!$D$46*$M$191)</f>
        <v/>
      </c>
      <c r="I201" s="23" t="str">
        <f t="shared" si="19"/>
        <v/>
      </c>
      <c r="J201" s="48" t="str">
        <f t="shared" si="20"/>
        <v/>
      </c>
      <c r="K201" s="24" t="str">
        <f t="shared" si="21"/>
        <v/>
      </c>
    </row>
    <row r="202" spans="4:11" x14ac:dyDescent="0.2">
      <c r="E202" s="62" t="s">
        <v>78</v>
      </c>
      <c r="F202" s="51" t="str">
        <f>IF($F$6&lt;&gt;"Wallonia","",Data!H72)</f>
        <v/>
      </c>
      <c r="G202" s="52" t="str">
        <f t="shared" si="18"/>
        <v/>
      </c>
      <c r="H202" s="53" t="str">
        <f>IF($F$6&lt;&gt;"Wallonia","",-'Results I'!$D$46*$M$191)</f>
        <v/>
      </c>
      <c r="I202" s="52" t="str">
        <f t="shared" si="19"/>
        <v/>
      </c>
      <c r="J202" s="54" t="str">
        <f t="shared" si="20"/>
        <v/>
      </c>
      <c r="K202" s="55" t="str">
        <f t="shared" si="21"/>
        <v/>
      </c>
    </row>
    <row r="203" spans="4:11" ht="13.5" thickBot="1" x14ac:dyDescent="0.25">
      <c r="F203" s="49"/>
      <c r="H203" s="50"/>
      <c r="J203" s="56"/>
    </row>
    <row r="204" spans="4:11" ht="13.5" thickBot="1" x14ac:dyDescent="0.25">
      <c r="F204" s="49"/>
      <c r="H204" s="50"/>
      <c r="I204" s="57" t="s">
        <v>161</v>
      </c>
      <c r="J204" s="141">
        <f>SUM(J191:J202)</f>
        <v>0</v>
      </c>
      <c r="K204" s="142" t="s">
        <v>2</v>
      </c>
    </row>
    <row r="205" spans="4:11" x14ac:dyDescent="0.2">
      <c r="F205" s="49"/>
      <c r="H205" s="50"/>
      <c r="J205" s="56"/>
    </row>
    <row r="206" spans="4:11" x14ac:dyDescent="0.2">
      <c r="D206" s="17" t="s">
        <v>178</v>
      </c>
      <c r="J206" s="56"/>
    </row>
    <row r="207" spans="4:11" ht="38.25" x14ac:dyDescent="0.2">
      <c r="F207" s="60" t="s">
        <v>125</v>
      </c>
      <c r="H207" s="45" t="s">
        <v>94</v>
      </c>
      <c r="J207" s="61" t="s">
        <v>88</v>
      </c>
    </row>
    <row r="208" spans="4:11" x14ac:dyDescent="0.2">
      <c r="E208" s="62" t="s">
        <v>67</v>
      </c>
      <c r="F208" s="46" t="str">
        <f>IF($F$6&lt;&gt;"Wallonia","",Data!H61)</f>
        <v/>
      </c>
      <c r="G208" s="23" t="str">
        <f t="shared" ref="G208:G219" si="22">IF($F$6&lt;&gt;"Wallonia","","MWh *")</f>
        <v/>
      </c>
      <c r="H208" s="47" t="str">
        <f>IF($F$6&lt;&gt;"Wallonia","",'Results I'!$E$46)</f>
        <v/>
      </c>
      <c r="I208" s="23" t="str">
        <f t="shared" ref="I208:I219" si="23">IF($F$6&lt;&gt;"Wallonia","","€/MWh =")</f>
        <v/>
      </c>
      <c r="J208" s="48" t="str">
        <f t="shared" ref="J208:J219" si="24">IF($F$6&lt;&gt;"Wallonia","",F208*H208*$M$191)</f>
        <v/>
      </c>
      <c r="K208" s="24" t="str">
        <f t="shared" ref="K208:K219" si="25">IF($F$6&lt;&gt;"Wallonia","","€")</f>
        <v/>
      </c>
    </row>
    <row r="209" spans="5:11" x14ac:dyDescent="0.2">
      <c r="E209" s="62" t="s">
        <v>68</v>
      </c>
      <c r="F209" s="51" t="str">
        <f>IF($F$6&lt;&gt;"Wallonia","",Data!H62)</f>
        <v/>
      </c>
      <c r="G209" s="52" t="str">
        <f t="shared" si="22"/>
        <v/>
      </c>
      <c r="H209" s="53" t="str">
        <f>IF($F$6&lt;&gt;"Wallonia","",'Results I'!$E$46)</f>
        <v/>
      </c>
      <c r="I209" s="52" t="str">
        <f t="shared" si="23"/>
        <v/>
      </c>
      <c r="J209" s="54" t="str">
        <f t="shared" si="24"/>
        <v/>
      </c>
      <c r="K209" s="55" t="str">
        <f t="shared" si="25"/>
        <v/>
      </c>
    </row>
    <row r="210" spans="5:11" x14ac:dyDescent="0.2">
      <c r="E210" s="62" t="s">
        <v>69</v>
      </c>
      <c r="F210" s="46" t="str">
        <f>IF($F$6&lt;&gt;"Wallonia","",Data!H63)</f>
        <v/>
      </c>
      <c r="G210" s="23" t="str">
        <f t="shared" si="22"/>
        <v/>
      </c>
      <c r="H210" s="47" t="str">
        <f>IF($F$6&lt;&gt;"Wallonia","",'Results I'!$E$46)</f>
        <v/>
      </c>
      <c r="I210" s="23" t="str">
        <f t="shared" si="23"/>
        <v/>
      </c>
      <c r="J210" s="48" t="str">
        <f t="shared" si="24"/>
        <v/>
      </c>
      <c r="K210" s="24" t="str">
        <f t="shared" si="25"/>
        <v/>
      </c>
    </row>
    <row r="211" spans="5:11" x14ac:dyDescent="0.2">
      <c r="E211" s="62" t="s">
        <v>70</v>
      </c>
      <c r="F211" s="51" t="str">
        <f>IF($F$6&lt;&gt;"Wallonia","",Data!H64)</f>
        <v/>
      </c>
      <c r="G211" s="52" t="str">
        <f t="shared" si="22"/>
        <v/>
      </c>
      <c r="H211" s="53" t="str">
        <f>IF($F$6&lt;&gt;"Wallonia","",'Results I'!$E$46)</f>
        <v/>
      </c>
      <c r="I211" s="52" t="str">
        <f t="shared" si="23"/>
        <v/>
      </c>
      <c r="J211" s="54" t="str">
        <f t="shared" si="24"/>
        <v/>
      </c>
      <c r="K211" s="55" t="str">
        <f t="shared" si="25"/>
        <v/>
      </c>
    </row>
    <row r="212" spans="5:11" x14ac:dyDescent="0.2">
      <c r="E212" s="62" t="s">
        <v>71</v>
      </c>
      <c r="F212" s="46" t="str">
        <f>IF($F$6&lt;&gt;"Wallonia","",Data!H65)</f>
        <v/>
      </c>
      <c r="G212" s="23" t="str">
        <f t="shared" si="22"/>
        <v/>
      </c>
      <c r="H212" s="47" t="str">
        <f>IF($F$6&lt;&gt;"Wallonia","",'Results I'!$E$46)</f>
        <v/>
      </c>
      <c r="I212" s="23" t="str">
        <f t="shared" si="23"/>
        <v/>
      </c>
      <c r="J212" s="48" t="str">
        <f t="shared" si="24"/>
        <v/>
      </c>
      <c r="K212" s="24" t="str">
        <f t="shared" si="25"/>
        <v/>
      </c>
    </row>
    <row r="213" spans="5:11" x14ac:dyDescent="0.2">
      <c r="E213" s="62" t="s">
        <v>72</v>
      </c>
      <c r="F213" s="51" t="str">
        <f>IF($F$6&lt;&gt;"Wallonia","",Data!H66)</f>
        <v/>
      </c>
      <c r="G213" s="52" t="str">
        <f t="shared" si="22"/>
        <v/>
      </c>
      <c r="H213" s="53" t="str">
        <f>IF($F$6&lt;&gt;"Wallonia","",'Results I'!$E$46)</f>
        <v/>
      </c>
      <c r="I213" s="52" t="str">
        <f t="shared" si="23"/>
        <v/>
      </c>
      <c r="J213" s="54" t="str">
        <f t="shared" si="24"/>
        <v/>
      </c>
      <c r="K213" s="55" t="str">
        <f t="shared" si="25"/>
        <v/>
      </c>
    </row>
    <row r="214" spans="5:11" x14ac:dyDescent="0.2">
      <c r="E214" s="62" t="s">
        <v>73</v>
      </c>
      <c r="F214" s="46" t="str">
        <f>IF($F$6&lt;&gt;"Wallonia","",Data!H67)</f>
        <v/>
      </c>
      <c r="G214" s="23" t="str">
        <f t="shared" si="22"/>
        <v/>
      </c>
      <c r="H214" s="47" t="str">
        <f>IF($F$6&lt;&gt;"Wallonia","",'Results I'!$E$46)</f>
        <v/>
      </c>
      <c r="I214" s="23" t="str">
        <f t="shared" si="23"/>
        <v/>
      </c>
      <c r="J214" s="48" t="str">
        <f t="shared" si="24"/>
        <v/>
      </c>
      <c r="K214" s="24" t="str">
        <f t="shared" si="25"/>
        <v/>
      </c>
    </row>
    <row r="215" spans="5:11" x14ac:dyDescent="0.2">
      <c r="E215" s="62" t="s">
        <v>74</v>
      </c>
      <c r="F215" s="51" t="str">
        <f>IF($F$6&lt;&gt;"Wallonia","",Data!H68)</f>
        <v/>
      </c>
      <c r="G215" s="52" t="str">
        <f t="shared" si="22"/>
        <v/>
      </c>
      <c r="H215" s="53" t="str">
        <f>IF($F$6&lt;&gt;"Wallonia","",'Results I'!$E$46)</f>
        <v/>
      </c>
      <c r="I215" s="52" t="str">
        <f t="shared" si="23"/>
        <v/>
      </c>
      <c r="J215" s="54" t="str">
        <f t="shared" si="24"/>
        <v/>
      </c>
      <c r="K215" s="55" t="str">
        <f t="shared" si="25"/>
        <v/>
      </c>
    </row>
    <row r="216" spans="5:11" x14ac:dyDescent="0.2">
      <c r="E216" s="62" t="s">
        <v>75</v>
      </c>
      <c r="F216" s="46" t="str">
        <f>IF($F$6&lt;&gt;"Wallonia","",Data!H69)</f>
        <v/>
      </c>
      <c r="G216" s="23" t="str">
        <f t="shared" si="22"/>
        <v/>
      </c>
      <c r="H216" s="47" t="str">
        <f>IF($F$6&lt;&gt;"Wallonia","",'Results I'!$E$46)</f>
        <v/>
      </c>
      <c r="I216" s="23" t="str">
        <f t="shared" si="23"/>
        <v/>
      </c>
      <c r="J216" s="48" t="str">
        <f t="shared" si="24"/>
        <v/>
      </c>
      <c r="K216" s="24" t="str">
        <f t="shared" si="25"/>
        <v/>
      </c>
    </row>
    <row r="217" spans="5:11" x14ac:dyDescent="0.2">
      <c r="E217" s="62" t="s">
        <v>76</v>
      </c>
      <c r="F217" s="51" t="str">
        <f>IF($F$6&lt;&gt;"Wallonia","",Data!H70)</f>
        <v/>
      </c>
      <c r="G217" s="52" t="str">
        <f t="shared" si="22"/>
        <v/>
      </c>
      <c r="H217" s="53" t="str">
        <f>IF($F$6&lt;&gt;"Wallonia","",'Results I'!$E$46)</f>
        <v/>
      </c>
      <c r="I217" s="52" t="str">
        <f t="shared" si="23"/>
        <v/>
      </c>
      <c r="J217" s="54" t="str">
        <f t="shared" si="24"/>
        <v/>
      </c>
      <c r="K217" s="55" t="str">
        <f t="shared" si="25"/>
        <v/>
      </c>
    </row>
    <row r="218" spans="5:11" x14ac:dyDescent="0.2">
      <c r="E218" s="62" t="s">
        <v>77</v>
      </c>
      <c r="F218" s="46" t="str">
        <f>IF($F$6&lt;&gt;"Wallonia","",Data!H71)</f>
        <v/>
      </c>
      <c r="G218" s="23" t="str">
        <f t="shared" si="22"/>
        <v/>
      </c>
      <c r="H218" s="47" t="str">
        <f>IF($F$6&lt;&gt;"Wallonia","",'Results I'!$E$46)</f>
        <v/>
      </c>
      <c r="I218" s="23" t="str">
        <f t="shared" si="23"/>
        <v/>
      </c>
      <c r="J218" s="48" t="str">
        <f t="shared" si="24"/>
        <v/>
      </c>
      <c r="K218" s="24" t="str">
        <f t="shared" si="25"/>
        <v/>
      </c>
    </row>
    <row r="219" spans="5:11" x14ac:dyDescent="0.2">
      <c r="E219" s="62" t="s">
        <v>78</v>
      </c>
      <c r="F219" s="51" t="str">
        <f>IF($F$6&lt;&gt;"Wallonia","",Data!H72)</f>
        <v/>
      </c>
      <c r="G219" s="52" t="str">
        <f t="shared" si="22"/>
        <v/>
      </c>
      <c r="H219" s="53" t="str">
        <f>IF($F$6&lt;&gt;"Wallonia","",'Results I'!$E$46)</f>
        <v/>
      </c>
      <c r="I219" s="52" t="str">
        <f t="shared" si="23"/>
        <v/>
      </c>
      <c r="J219" s="54" t="str">
        <f t="shared" si="24"/>
        <v/>
      </c>
      <c r="K219" s="55" t="str">
        <f t="shared" si="25"/>
        <v/>
      </c>
    </row>
    <row r="220" spans="5:11" ht="13.5" thickBot="1" x14ac:dyDescent="0.25">
      <c r="J220" s="56"/>
    </row>
    <row r="221" spans="5:11" ht="13.5" thickBot="1" x14ac:dyDescent="0.25">
      <c r="I221" s="57" t="s">
        <v>162</v>
      </c>
      <c r="J221" s="141">
        <f>SUM(J208:J219)</f>
        <v>0</v>
      </c>
      <c r="K221" s="142" t="s">
        <v>2</v>
      </c>
    </row>
    <row r="222" spans="5:11" ht="13.5" thickBot="1" x14ac:dyDescent="0.25">
      <c r="J222" s="56"/>
    </row>
    <row r="223" spans="5:11" ht="28.5" customHeight="1" thickBot="1" x14ac:dyDescent="0.25">
      <c r="E223" s="163" t="s">
        <v>163</v>
      </c>
      <c r="F223" s="163"/>
      <c r="G223" s="163"/>
      <c r="H223" s="163"/>
      <c r="I223" s="164"/>
      <c r="J223" s="63">
        <f>J204+J221</f>
        <v>0</v>
      </c>
      <c r="K223" s="64" t="s">
        <v>2</v>
      </c>
    </row>
    <row r="224" spans="5:11" x14ac:dyDescent="0.2">
      <c r="F224" s="49"/>
      <c r="H224" s="50"/>
      <c r="J224" s="56"/>
    </row>
    <row r="225" spans="2:11" x14ac:dyDescent="0.2">
      <c r="F225" s="49"/>
      <c r="H225" s="50"/>
      <c r="J225" s="56"/>
    </row>
    <row r="226" spans="2:11" x14ac:dyDescent="0.2">
      <c r="B226" s="17" t="s">
        <v>114</v>
      </c>
      <c r="F226" s="49"/>
      <c r="H226" s="50"/>
      <c r="J226" s="56"/>
    </row>
    <row r="227" spans="2:11" x14ac:dyDescent="0.2">
      <c r="F227" s="49"/>
      <c r="H227" s="50"/>
      <c r="J227" s="56"/>
    </row>
    <row r="228" spans="2:11" x14ac:dyDescent="0.2">
      <c r="C228" s="17" t="s">
        <v>170</v>
      </c>
      <c r="F228" s="49"/>
      <c r="H228" s="50"/>
      <c r="J228" s="56"/>
    </row>
    <row r="229" spans="2:11" x14ac:dyDescent="0.2">
      <c r="D229" s="44" t="str">
        <f>IF($F$6="Wallonia","","Not applicable in this region")</f>
        <v>Not applicable in this region</v>
      </c>
      <c r="F229" s="49"/>
      <c r="H229" s="50"/>
      <c r="J229" s="56"/>
    </row>
    <row r="230" spans="2:11" x14ac:dyDescent="0.2">
      <c r="F230" s="60" t="s">
        <v>125</v>
      </c>
      <c r="H230" s="136" t="s">
        <v>87</v>
      </c>
      <c r="J230" s="61" t="s">
        <v>88</v>
      </c>
    </row>
    <row r="231" spans="2:11" x14ac:dyDescent="0.2">
      <c r="E231" s="62" t="s">
        <v>67</v>
      </c>
      <c r="F231" s="46" t="str">
        <f>IF($F$6&lt;&gt;"Wallonia","",Data!H61)</f>
        <v/>
      </c>
      <c r="G231" s="23" t="str">
        <f t="shared" ref="G231:G242" si="26">IF($F$6&lt;&gt;"Wallonia","","MWh *")</f>
        <v/>
      </c>
      <c r="H231" s="47" t="str">
        <f>IF($F$6&lt;&gt;"Wallonia","",'Results I'!$D$50)</f>
        <v/>
      </c>
      <c r="I231" s="23" t="str">
        <f t="shared" ref="I231:I242" si="27">IF($F$6&lt;&gt;"Wallonia","","€/MWh =")</f>
        <v/>
      </c>
      <c r="J231" s="48" t="str">
        <f t="shared" ref="J231:J242" si="28">IF($F$6&lt;&gt;"Wallonia","",F231*H231)</f>
        <v/>
      </c>
      <c r="K231" s="24" t="str">
        <f t="shared" ref="K231:K242" si="29">IF($F$6&lt;&gt;"Wallonia","","€")</f>
        <v/>
      </c>
    </row>
    <row r="232" spans="2:11" x14ac:dyDescent="0.2">
      <c r="E232" s="62" t="s">
        <v>68</v>
      </c>
      <c r="F232" s="51" t="str">
        <f>IF($F$6&lt;&gt;"Wallonia","",Data!H62)</f>
        <v/>
      </c>
      <c r="G232" s="52" t="str">
        <f t="shared" si="26"/>
        <v/>
      </c>
      <c r="H232" s="53" t="str">
        <f>IF($F$6&lt;&gt;"Wallonia","",'Results I'!$D$50)</f>
        <v/>
      </c>
      <c r="I232" s="52" t="str">
        <f t="shared" si="27"/>
        <v/>
      </c>
      <c r="J232" s="54" t="str">
        <f t="shared" si="28"/>
        <v/>
      </c>
      <c r="K232" s="55" t="str">
        <f t="shared" si="29"/>
        <v/>
      </c>
    </row>
    <row r="233" spans="2:11" x14ac:dyDescent="0.2">
      <c r="E233" s="62" t="s">
        <v>69</v>
      </c>
      <c r="F233" s="46" t="str">
        <f>IF($F$6&lt;&gt;"Wallonia","",Data!H63)</f>
        <v/>
      </c>
      <c r="G233" s="23" t="str">
        <f t="shared" si="26"/>
        <v/>
      </c>
      <c r="H233" s="47" t="str">
        <f>IF($F$6&lt;&gt;"Wallonia","",'Results I'!$D$50)</f>
        <v/>
      </c>
      <c r="I233" s="23" t="str">
        <f t="shared" si="27"/>
        <v/>
      </c>
      <c r="J233" s="48" t="str">
        <f t="shared" si="28"/>
        <v/>
      </c>
      <c r="K233" s="24" t="str">
        <f t="shared" si="29"/>
        <v/>
      </c>
    </row>
    <row r="234" spans="2:11" x14ac:dyDescent="0.2">
      <c r="E234" s="62" t="s">
        <v>70</v>
      </c>
      <c r="F234" s="51" t="str">
        <f>IF($F$6&lt;&gt;"Wallonia","",Data!H64)</f>
        <v/>
      </c>
      <c r="G234" s="52" t="str">
        <f t="shared" si="26"/>
        <v/>
      </c>
      <c r="H234" s="53" t="str">
        <f>IF($F$6&lt;&gt;"Wallonia","",'Results I'!$D$50)</f>
        <v/>
      </c>
      <c r="I234" s="52" t="str">
        <f t="shared" si="27"/>
        <v/>
      </c>
      <c r="J234" s="54" t="str">
        <f t="shared" si="28"/>
        <v/>
      </c>
      <c r="K234" s="55" t="str">
        <f t="shared" si="29"/>
        <v/>
      </c>
    </row>
    <row r="235" spans="2:11" x14ac:dyDescent="0.2">
      <c r="E235" s="62" t="s">
        <v>71</v>
      </c>
      <c r="F235" s="46" t="str">
        <f>IF($F$6&lt;&gt;"Wallonia","",Data!H65)</f>
        <v/>
      </c>
      <c r="G235" s="23" t="str">
        <f t="shared" si="26"/>
        <v/>
      </c>
      <c r="H235" s="47" t="str">
        <f>IF($F$6&lt;&gt;"Wallonia","",'Results I'!$D$50)</f>
        <v/>
      </c>
      <c r="I235" s="23" t="str">
        <f t="shared" si="27"/>
        <v/>
      </c>
      <c r="J235" s="48" t="str">
        <f t="shared" si="28"/>
        <v/>
      </c>
      <c r="K235" s="24" t="str">
        <f t="shared" si="29"/>
        <v/>
      </c>
    </row>
    <row r="236" spans="2:11" x14ac:dyDescent="0.2">
      <c r="E236" s="62" t="s">
        <v>72</v>
      </c>
      <c r="F236" s="51" t="str">
        <f>IF($F$6&lt;&gt;"Wallonia","",Data!H66)</f>
        <v/>
      </c>
      <c r="G236" s="52" t="str">
        <f t="shared" si="26"/>
        <v/>
      </c>
      <c r="H236" s="53" t="str">
        <f>IF($F$6&lt;&gt;"Wallonia","",'Results I'!$D$50)</f>
        <v/>
      </c>
      <c r="I236" s="52" t="str">
        <f t="shared" si="27"/>
        <v/>
      </c>
      <c r="J236" s="54" t="str">
        <f t="shared" si="28"/>
        <v/>
      </c>
      <c r="K236" s="55" t="str">
        <f t="shared" si="29"/>
        <v/>
      </c>
    </row>
    <row r="237" spans="2:11" x14ac:dyDescent="0.2">
      <c r="E237" s="62" t="s">
        <v>73</v>
      </c>
      <c r="F237" s="46" t="str">
        <f>IF($F$6&lt;&gt;"Wallonia","",Data!H67)</f>
        <v/>
      </c>
      <c r="G237" s="23" t="str">
        <f t="shared" si="26"/>
        <v/>
      </c>
      <c r="H237" s="47" t="str">
        <f>IF($F$6&lt;&gt;"Wallonia","",'Results I'!$D$50)</f>
        <v/>
      </c>
      <c r="I237" s="23" t="str">
        <f t="shared" si="27"/>
        <v/>
      </c>
      <c r="J237" s="48" t="str">
        <f t="shared" si="28"/>
        <v/>
      </c>
      <c r="K237" s="24" t="str">
        <f t="shared" si="29"/>
        <v/>
      </c>
    </row>
    <row r="238" spans="2:11" x14ac:dyDescent="0.2">
      <c r="E238" s="62" t="s">
        <v>74</v>
      </c>
      <c r="F238" s="51" t="str">
        <f>IF($F$6&lt;&gt;"Wallonia","",Data!H68)</f>
        <v/>
      </c>
      <c r="G238" s="52" t="str">
        <f t="shared" si="26"/>
        <v/>
      </c>
      <c r="H238" s="53" t="str">
        <f>IF($F$6&lt;&gt;"Wallonia","",'Results I'!$D$50)</f>
        <v/>
      </c>
      <c r="I238" s="52" t="str">
        <f t="shared" si="27"/>
        <v/>
      </c>
      <c r="J238" s="54" t="str">
        <f t="shared" si="28"/>
        <v/>
      </c>
      <c r="K238" s="55" t="str">
        <f t="shared" si="29"/>
        <v/>
      </c>
    </row>
    <row r="239" spans="2:11" x14ac:dyDescent="0.2">
      <c r="E239" s="62" t="s">
        <v>75</v>
      </c>
      <c r="F239" s="46" t="str">
        <f>IF($F$6&lt;&gt;"Wallonia","",Data!H69)</f>
        <v/>
      </c>
      <c r="G239" s="23" t="str">
        <f t="shared" si="26"/>
        <v/>
      </c>
      <c r="H239" s="47" t="str">
        <f>IF($F$6&lt;&gt;"Wallonia","",'Results I'!$D$50)</f>
        <v/>
      </c>
      <c r="I239" s="23" t="str">
        <f t="shared" si="27"/>
        <v/>
      </c>
      <c r="J239" s="48" t="str">
        <f t="shared" si="28"/>
        <v/>
      </c>
      <c r="K239" s="24" t="str">
        <f t="shared" si="29"/>
        <v/>
      </c>
    </row>
    <row r="240" spans="2:11" x14ac:dyDescent="0.2">
      <c r="E240" s="62" t="s">
        <v>76</v>
      </c>
      <c r="F240" s="51" t="str">
        <f>IF($F$6&lt;&gt;"Wallonia","",Data!H70)</f>
        <v/>
      </c>
      <c r="G240" s="52" t="str">
        <f t="shared" si="26"/>
        <v/>
      </c>
      <c r="H240" s="53" t="str">
        <f>IF($F$6&lt;&gt;"Wallonia","",'Results I'!$D$50)</f>
        <v/>
      </c>
      <c r="I240" s="52" t="str">
        <f t="shared" si="27"/>
        <v/>
      </c>
      <c r="J240" s="54" t="str">
        <f t="shared" si="28"/>
        <v/>
      </c>
      <c r="K240" s="55" t="str">
        <f t="shared" si="29"/>
        <v/>
      </c>
    </row>
    <row r="241" spans="3:11" x14ac:dyDescent="0.2">
      <c r="E241" s="62" t="s">
        <v>77</v>
      </c>
      <c r="F241" s="46" t="str">
        <f>IF($F$6&lt;&gt;"Wallonia","",Data!H71)</f>
        <v/>
      </c>
      <c r="G241" s="23" t="str">
        <f t="shared" si="26"/>
        <v/>
      </c>
      <c r="H241" s="47" t="str">
        <f>IF($F$6&lt;&gt;"Wallonia","",'Results I'!$D$50)</f>
        <v/>
      </c>
      <c r="I241" s="23" t="str">
        <f t="shared" si="27"/>
        <v/>
      </c>
      <c r="J241" s="48" t="str">
        <f t="shared" si="28"/>
        <v/>
      </c>
      <c r="K241" s="24" t="str">
        <f t="shared" si="29"/>
        <v/>
      </c>
    </row>
    <row r="242" spans="3:11" x14ac:dyDescent="0.2">
      <c r="E242" s="62" t="s">
        <v>78</v>
      </c>
      <c r="F242" s="51" t="str">
        <f>IF($F$6&lt;&gt;"Wallonia","",Data!H72)</f>
        <v/>
      </c>
      <c r="G242" s="52" t="str">
        <f t="shared" si="26"/>
        <v/>
      </c>
      <c r="H242" s="53" t="str">
        <f>IF($F$6&lt;&gt;"Wallonia","",'Results I'!$D$50)</f>
        <v/>
      </c>
      <c r="I242" s="52" t="str">
        <f t="shared" si="27"/>
        <v/>
      </c>
      <c r="J242" s="54" t="str">
        <f t="shared" si="28"/>
        <v/>
      </c>
      <c r="K242" s="55" t="str">
        <f t="shared" si="29"/>
        <v/>
      </c>
    </row>
    <row r="243" spans="3:11" ht="13.5" thickBot="1" x14ac:dyDescent="0.25">
      <c r="J243" s="56"/>
    </row>
    <row r="244" spans="3:11" ht="13.5" thickBot="1" x14ac:dyDescent="0.25">
      <c r="I244" s="57" t="s">
        <v>115</v>
      </c>
      <c r="J244" s="63">
        <f>SUM(J231:J242)</f>
        <v>0</v>
      </c>
      <c r="K244" s="64" t="s">
        <v>2</v>
      </c>
    </row>
    <row r="245" spans="3:11" x14ac:dyDescent="0.2">
      <c r="F245" s="49"/>
      <c r="H245" s="50"/>
      <c r="J245" s="56"/>
    </row>
    <row r="246" spans="3:11" x14ac:dyDescent="0.2">
      <c r="F246" s="49"/>
      <c r="H246" s="50"/>
      <c r="J246" s="56"/>
    </row>
    <row r="247" spans="3:11" x14ac:dyDescent="0.2">
      <c r="C247" s="17" t="s">
        <v>171</v>
      </c>
      <c r="F247" s="49"/>
      <c r="H247" s="50"/>
      <c r="J247" s="56"/>
    </row>
    <row r="248" spans="3:11" x14ac:dyDescent="0.2">
      <c r="D248" s="44" t="str">
        <f>IF($F$6="Brussels","","Not applicable in this region")</f>
        <v/>
      </c>
      <c r="F248" s="49"/>
      <c r="H248" s="50"/>
      <c r="J248" s="56"/>
    </row>
    <row r="249" spans="3:11" x14ac:dyDescent="0.2">
      <c r="F249" s="60" t="s">
        <v>125</v>
      </c>
      <c r="H249" s="136" t="s">
        <v>87</v>
      </c>
      <c r="J249" s="61" t="s">
        <v>88</v>
      </c>
    </row>
    <row r="250" spans="3:11" x14ac:dyDescent="0.2">
      <c r="E250" s="62" t="s">
        <v>67</v>
      </c>
      <c r="F250" s="46">
        <f>IF($F$6&lt;&gt;"Brussels","",Data!H61)</f>
        <v>0</v>
      </c>
      <c r="G250" s="23" t="str">
        <f t="shared" ref="G250:G261" si="30">IF($F$6&lt;&gt;"Brussels","","MWh *")</f>
        <v>MWh *</v>
      </c>
      <c r="H250" s="47">
        <f>IF($F$6&lt;&gt;"Brussels","",'Results I'!$D$53)</f>
        <v>3.6034999999999999</v>
      </c>
      <c r="I250" s="23" t="str">
        <f t="shared" ref="I250:I261" si="31">IF($F$6&lt;&gt;"Brussels","","€/MWh =")</f>
        <v>€/MWh =</v>
      </c>
      <c r="J250" s="48">
        <f t="shared" ref="J250:J261" si="32">IF($F$6&lt;&gt;"Brussels","",F250*H250)</f>
        <v>0</v>
      </c>
      <c r="K250" s="24" t="str">
        <f t="shared" ref="K250:K261" si="33">IF($F$6&lt;&gt;"Brussels","","€")</f>
        <v>€</v>
      </c>
    </row>
    <row r="251" spans="3:11" x14ac:dyDescent="0.2">
      <c r="E251" s="62" t="s">
        <v>68</v>
      </c>
      <c r="F251" s="51">
        <f>IF($F$6&lt;&gt;"Brussels","",Data!H62)</f>
        <v>0</v>
      </c>
      <c r="G251" s="52" t="str">
        <f t="shared" si="30"/>
        <v>MWh *</v>
      </c>
      <c r="H251" s="53">
        <f>IF($F$6&lt;&gt;"Brussels","",'Results I'!$D$53)</f>
        <v>3.6034999999999999</v>
      </c>
      <c r="I251" s="52" t="str">
        <f t="shared" si="31"/>
        <v>€/MWh =</v>
      </c>
      <c r="J251" s="54">
        <f t="shared" si="32"/>
        <v>0</v>
      </c>
      <c r="K251" s="55" t="str">
        <f t="shared" si="33"/>
        <v>€</v>
      </c>
    </row>
    <row r="252" spans="3:11" x14ac:dyDescent="0.2">
      <c r="E252" s="62" t="s">
        <v>69</v>
      </c>
      <c r="F252" s="46">
        <f>IF($F$6&lt;&gt;"Brussels","",Data!H63)</f>
        <v>0</v>
      </c>
      <c r="G252" s="23" t="str">
        <f t="shared" si="30"/>
        <v>MWh *</v>
      </c>
      <c r="H252" s="47">
        <f>IF($F$6&lt;&gt;"Brussels","",'Results I'!$D$53)</f>
        <v>3.6034999999999999</v>
      </c>
      <c r="I252" s="23" t="str">
        <f t="shared" si="31"/>
        <v>€/MWh =</v>
      </c>
      <c r="J252" s="48">
        <f t="shared" si="32"/>
        <v>0</v>
      </c>
      <c r="K252" s="24" t="str">
        <f t="shared" si="33"/>
        <v>€</v>
      </c>
    </row>
    <row r="253" spans="3:11" x14ac:dyDescent="0.2">
      <c r="E253" s="62" t="s">
        <v>70</v>
      </c>
      <c r="F253" s="51">
        <f>IF($F$6&lt;&gt;"Brussels","",Data!H64)</f>
        <v>0</v>
      </c>
      <c r="G253" s="52" t="str">
        <f t="shared" si="30"/>
        <v>MWh *</v>
      </c>
      <c r="H253" s="53">
        <f>IF($F$6&lt;&gt;"Brussels","",'Results I'!$D$53)</f>
        <v>3.6034999999999999</v>
      </c>
      <c r="I253" s="52" t="str">
        <f t="shared" si="31"/>
        <v>€/MWh =</v>
      </c>
      <c r="J253" s="54">
        <f t="shared" si="32"/>
        <v>0</v>
      </c>
      <c r="K253" s="55" t="str">
        <f t="shared" si="33"/>
        <v>€</v>
      </c>
    </row>
    <row r="254" spans="3:11" x14ac:dyDescent="0.2">
      <c r="E254" s="62" t="s">
        <v>71</v>
      </c>
      <c r="F254" s="46">
        <f>IF($F$6&lt;&gt;"Brussels","",Data!H65)</f>
        <v>0</v>
      </c>
      <c r="G254" s="23" t="str">
        <f t="shared" si="30"/>
        <v>MWh *</v>
      </c>
      <c r="H254" s="47">
        <f>IF($F$6&lt;&gt;"Brussels","",'Results I'!$D$53)</f>
        <v>3.6034999999999999</v>
      </c>
      <c r="I254" s="23" t="str">
        <f t="shared" si="31"/>
        <v>€/MWh =</v>
      </c>
      <c r="J254" s="48">
        <f t="shared" si="32"/>
        <v>0</v>
      </c>
      <c r="K254" s="24" t="str">
        <f t="shared" si="33"/>
        <v>€</v>
      </c>
    </row>
    <row r="255" spans="3:11" x14ac:dyDescent="0.2">
      <c r="E255" s="62" t="s">
        <v>72</v>
      </c>
      <c r="F255" s="51">
        <f>IF($F$6&lt;&gt;"Brussels","",Data!H66)</f>
        <v>0</v>
      </c>
      <c r="G255" s="52" t="str">
        <f t="shared" si="30"/>
        <v>MWh *</v>
      </c>
      <c r="H255" s="53">
        <f>IF($F$6&lt;&gt;"Brussels","",'Results I'!$D$53)</f>
        <v>3.6034999999999999</v>
      </c>
      <c r="I255" s="52" t="str">
        <f t="shared" si="31"/>
        <v>€/MWh =</v>
      </c>
      <c r="J255" s="54">
        <f t="shared" si="32"/>
        <v>0</v>
      </c>
      <c r="K255" s="55" t="str">
        <f t="shared" si="33"/>
        <v>€</v>
      </c>
    </row>
    <row r="256" spans="3:11" x14ac:dyDescent="0.2">
      <c r="E256" s="62" t="s">
        <v>73</v>
      </c>
      <c r="F256" s="46">
        <f>IF($F$6&lt;&gt;"Brussels","",Data!H67)</f>
        <v>0</v>
      </c>
      <c r="G256" s="23" t="str">
        <f t="shared" si="30"/>
        <v>MWh *</v>
      </c>
      <c r="H256" s="47">
        <f>IF($F$6&lt;&gt;"Brussels","",'Results I'!$D$53)</f>
        <v>3.6034999999999999</v>
      </c>
      <c r="I256" s="23" t="str">
        <f t="shared" si="31"/>
        <v>€/MWh =</v>
      </c>
      <c r="J256" s="48">
        <f t="shared" si="32"/>
        <v>0</v>
      </c>
      <c r="K256" s="24" t="str">
        <f t="shared" si="33"/>
        <v>€</v>
      </c>
    </row>
    <row r="257" spans="3:11" x14ac:dyDescent="0.2">
      <c r="E257" s="62" t="s">
        <v>74</v>
      </c>
      <c r="F257" s="51">
        <f>IF($F$6&lt;&gt;"Brussels","",Data!H68)</f>
        <v>0</v>
      </c>
      <c r="G257" s="52" t="str">
        <f t="shared" si="30"/>
        <v>MWh *</v>
      </c>
      <c r="H257" s="53">
        <f>IF($F$6&lt;&gt;"Brussels","",'Results I'!$D$53)</f>
        <v>3.6034999999999999</v>
      </c>
      <c r="I257" s="52" t="str">
        <f t="shared" si="31"/>
        <v>€/MWh =</v>
      </c>
      <c r="J257" s="54">
        <f t="shared" si="32"/>
        <v>0</v>
      </c>
      <c r="K257" s="55" t="str">
        <f t="shared" si="33"/>
        <v>€</v>
      </c>
    </row>
    <row r="258" spans="3:11" x14ac:dyDescent="0.2">
      <c r="E258" s="62" t="s">
        <v>75</v>
      </c>
      <c r="F258" s="46">
        <f>IF($F$6&lt;&gt;"Brussels","",Data!H69)</f>
        <v>0</v>
      </c>
      <c r="G258" s="23" t="str">
        <f t="shared" si="30"/>
        <v>MWh *</v>
      </c>
      <c r="H258" s="47">
        <f>IF($F$6&lt;&gt;"Brussels","",'Results I'!$D$53)</f>
        <v>3.6034999999999999</v>
      </c>
      <c r="I258" s="23" t="str">
        <f t="shared" si="31"/>
        <v>€/MWh =</v>
      </c>
      <c r="J258" s="48">
        <f t="shared" si="32"/>
        <v>0</v>
      </c>
      <c r="K258" s="24" t="str">
        <f t="shared" si="33"/>
        <v>€</v>
      </c>
    </row>
    <row r="259" spans="3:11" x14ac:dyDescent="0.2">
      <c r="E259" s="62" t="s">
        <v>76</v>
      </c>
      <c r="F259" s="51">
        <f>IF($F$6&lt;&gt;"Brussels","",Data!H70)</f>
        <v>0</v>
      </c>
      <c r="G259" s="52" t="str">
        <f t="shared" si="30"/>
        <v>MWh *</v>
      </c>
      <c r="H259" s="53">
        <f>IF($F$6&lt;&gt;"Brussels","",'Results I'!$D$53)</f>
        <v>3.6034999999999999</v>
      </c>
      <c r="I259" s="52" t="str">
        <f t="shared" si="31"/>
        <v>€/MWh =</v>
      </c>
      <c r="J259" s="54">
        <f t="shared" si="32"/>
        <v>0</v>
      </c>
      <c r="K259" s="55" t="str">
        <f t="shared" si="33"/>
        <v>€</v>
      </c>
    </row>
    <row r="260" spans="3:11" x14ac:dyDescent="0.2">
      <c r="E260" s="62" t="s">
        <v>77</v>
      </c>
      <c r="F260" s="46">
        <f>IF($F$6&lt;&gt;"Brussels","",Data!H71)</f>
        <v>0</v>
      </c>
      <c r="G260" s="23" t="str">
        <f t="shared" si="30"/>
        <v>MWh *</v>
      </c>
      <c r="H260" s="47">
        <f>IF($F$6&lt;&gt;"Brussels","",'Results I'!$D$53)</f>
        <v>3.6034999999999999</v>
      </c>
      <c r="I260" s="23" t="str">
        <f t="shared" si="31"/>
        <v>€/MWh =</v>
      </c>
      <c r="J260" s="48">
        <f t="shared" si="32"/>
        <v>0</v>
      </c>
      <c r="K260" s="24" t="str">
        <f t="shared" si="33"/>
        <v>€</v>
      </c>
    </row>
    <row r="261" spans="3:11" x14ac:dyDescent="0.2">
      <c r="E261" s="62" t="s">
        <v>78</v>
      </c>
      <c r="F261" s="51">
        <f>IF($F$6&lt;&gt;"Brussels","",Data!H72)</f>
        <v>0</v>
      </c>
      <c r="G261" s="52" t="str">
        <f t="shared" si="30"/>
        <v>MWh *</v>
      </c>
      <c r="H261" s="53">
        <f>IF($F$6&lt;&gt;"Brussels","",'Results I'!$D$53)</f>
        <v>3.6034999999999999</v>
      </c>
      <c r="I261" s="52" t="str">
        <f t="shared" si="31"/>
        <v>€/MWh =</v>
      </c>
      <c r="J261" s="54">
        <f t="shared" si="32"/>
        <v>0</v>
      </c>
      <c r="K261" s="55" t="str">
        <f t="shared" si="33"/>
        <v>€</v>
      </c>
    </row>
    <row r="262" spans="3:11" ht="13.5" thickBot="1" x14ac:dyDescent="0.25">
      <c r="J262" s="56"/>
    </row>
    <row r="263" spans="3:11" ht="13.5" thickBot="1" x14ac:dyDescent="0.25">
      <c r="I263" s="57" t="s">
        <v>116</v>
      </c>
      <c r="J263" s="72">
        <f>SUM(J250:J261)</f>
        <v>0</v>
      </c>
      <c r="K263" s="64" t="s">
        <v>2</v>
      </c>
    </row>
    <row r="264" spans="3:11" x14ac:dyDescent="0.2">
      <c r="F264" s="49"/>
      <c r="H264" s="50"/>
      <c r="J264" s="56"/>
    </row>
    <row r="265" spans="3:11" x14ac:dyDescent="0.2">
      <c r="F265" s="49"/>
      <c r="H265" s="50"/>
      <c r="J265" s="56"/>
    </row>
    <row r="266" spans="3:11" x14ac:dyDescent="0.2">
      <c r="C266" s="17" t="s">
        <v>172</v>
      </c>
      <c r="F266" s="49"/>
      <c r="H266" s="50"/>
      <c r="J266" s="56"/>
    </row>
    <row r="267" spans="3:11" x14ac:dyDescent="0.2">
      <c r="D267" s="44" t="str">
        <f>IF($F$6="Flanders","","Not applicable in this region")</f>
        <v>Not applicable in this region</v>
      </c>
      <c r="F267" s="49"/>
      <c r="H267" s="50"/>
      <c r="J267" s="56"/>
    </row>
    <row r="268" spans="3:11" x14ac:dyDescent="0.2">
      <c r="F268" s="60" t="s">
        <v>125</v>
      </c>
      <c r="H268" s="136" t="s">
        <v>87</v>
      </c>
      <c r="J268" s="61" t="s">
        <v>88</v>
      </c>
    </row>
    <row r="269" spans="3:11" x14ac:dyDescent="0.2">
      <c r="E269" s="62" t="s">
        <v>67</v>
      </c>
      <c r="F269" s="46" t="str">
        <f>IF($F$6&lt;&gt;"Flanders","",Data!H61)</f>
        <v/>
      </c>
      <c r="G269" s="23" t="str">
        <f t="shared" ref="G269:G280" si="34">IF($F$6&lt;&gt;"Flanders","","MWh *")</f>
        <v/>
      </c>
      <c r="H269" s="47" t="str">
        <f>IF($F$6&lt;&gt;"Flanders","",'Results I'!$D$56)</f>
        <v/>
      </c>
      <c r="I269" s="23" t="str">
        <f t="shared" ref="I269:I280" si="35">IF($F$6&lt;&gt;"Flanders","","€/MWh =")</f>
        <v/>
      </c>
      <c r="J269" s="48" t="str">
        <f t="shared" ref="J269:J280" si="36">IF($F$6&lt;&gt;"Flanders","",F269*H269)</f>
        <v/>
      </c>
      <c r="K269" s="24" t="str">
        <f t="shared" ref="K269:K280" si="37">IF($F$6&lt;&gt;"Flanders","","€")</f>
        <v/>
      </c>
    </row>
    <row r="270" spans="3:11" x14ac:dyDescent="0.2">
      <c r="E270" s="62" t="s">
        <v>68</v>
      </c>
      <c r="F270" s="51" t="str">
        <f>IF($F$6&lt;&gt;"Flanders","",Data!H62)</f>
        <v/>
      </c>
      <c r="G270" s="52" t="str">
        <f t="shared" si="34"/>
        <v/>
      </c>
      <c r="H270" s="53" t="str">
        <f>IF($F$6&lt;&gt;"Flanders","",'Results I'!$D$56)</f>
        <v/>
      </c>
      <c r="I270" s="52" t="str">
        <f t="shared" si="35"/>
        <v/>
      </c>
      <c r="J270" s="54" t="str">
        <f t="shared" si="36"/>
        <v/>
      </c>
      <c r="K270" s="55" t="str">
        <f t="shared" si="37"/>
        <v/>
      </c>
    </row>
    <row r="271" spans="3:11" x14ac:dyDescent="0.2">
      <c r="E271" s="62" t="s">
        <v>69</v>
      </c>
      <c r="F271" s="46" t="str">
        <f>IF($F$6&lt;&gt;"Flanders","",Data!H63)</f>
        <v/>
      </c>
      <c r="G271" s="23" t="str">
        <f t="shared" si="34"/>
        <v/>
      </c>
      <c r="H271" s="47" t="str">
        <f>IF($F$6&lt;&gt;"Flanders","",'Results I'!$D$56)</f>
        <v/>
      </c>
      <c r="I271" s="23" t="str">
        <f t="shared" si="35"/>
        <v/>
      </c>
      <c r="J271" s="48" t="str">
        <f t="shared" si="36"/>
        <v/>
      </c>
      <c r="K271" s="24" t="str">
        <f t="shared" si="37"/>
        <v/>
      </c>
    </row>
    <row r="272" spans="3:11" x14ac:dyDescent="0.2">
      <c r="E272" s="62" t="s">
        <v>70</v>
      </c>
      <c r="F272" s="51" t="str">
        <f>IF($F$6&lt;&gt;"Flanders","",Data!H64)</f>
        <v/>
      </c>
      <c r="G272" s="52" t="str">
        <f t="shared" si="34"/>
        <v/>
      </c>
      <c r="H272" s="53" t="str">
        <f>IF($F$6&lt;&gt;"Flanders","",'Results I'!$D$56)</f>
        <v/>
      </c>
      <c r="I272" s="52" t="str">
        <f t="shared" si="35"/>
        <v/>
      </c>
      <c r="J272" s="54" t="str">
        <f t="shared" si="36"/>
        <v/>
      </c>
      <c r="K272" s="55" t="str">
        <f t="shared" si="37"/>
        <v/>
      </c>
    </row>
    <row r="273" spans="2:11" x14ac:dyDescent="0.2">
      <c r="E273" s="62" t="s">
        <v>71</v>
      </c>
      <c r="F273" s="46" t="str">
        <f>IF($F$6&lt;&gt;"Flanders","",Data!H65)</f>
        <v/>
      </c>
      <c r="G273" s="23" t="str">
        <f t="shared" si="34"/>
        <v/>
      </c>
      <c r="H273" s="47" t="str">
        <f>IF($F$6&lt;&gt;"Flanders","",'Results I'!$D$56)</f>
        <v/>
      </c>
      <c r="I273" s="23" t="str">
        <f t="shared" si="35"/>
        <v/>
      </c>
      <c r="J273" s="48" t="str">
        <f t="shared" si="36"/>
        <v/>
      </c>
      <c r="K273" s="24" t="str">
        <f t="shared" si="37"/>
        <v/>
      </c>
    </row>
    <row r="274" spans="2:11" x14ac:dyDescent="0.2">
      <c r="E274" s="62" t="s">
        <v>72</v>
      </c>
      <c r="F274" s="51" t="str">
        <f>IF($F$6&lt;&gt;"Flanders","",Data!H66)</f>
        <v/>
      </c>
      <c r="G274" s="52" t="str">
        <f t="shared" si="34"/>
        <v/>
      </c>
      <c r="H274" s="53" t="str">
        <f>IF($F$6&lt;&gt;"Flanders","",'Results I'!$D$56)</f>
        <v/>
      </c>
      <c r="I274" s="52" t="str">
        <f t="shared" si="35"/>
        <v/>
      </c>
      <c r="J274" s="54" t="str">
        <f t="shared" si="36"/>
        <v/>
      </c>
      <c r="K274" s="55" t="str">
        <f t="shared" si="37"/>
        <v/>
      </c>
    </row>
    <row r="275" spans="2:11" x14ac:dyDescent="0.2">
      <c r="E275" s="62" t="s">
        <v>73</v>
      </c>
      <c r="F275" s="46" t="str">
        <f>IF($F$6&lt;&gt;"Flanders","",Data!H67)</f>
        <v/>
      </c>
      <c r="G275" s="23" t="str">
        <f t="shared" si="34"/>
        <v/>
      </c>
      <c r="H275" s="47" t="str">
        <f>IF($F$6&lt;&gt;"Flanders","",'Results I'!$D$56)</f>
        <v/>
      </c>
      <c r="I275" s="23" t="str">
        <f t="shared" si="35"/>
        <v/>
      </c>
      <c r="J275" s="48" t="str">
        <f t="shared" si="36"/>
        <v/>
      </c>
      <c r="K275" s="24" t="str">
        <f t="shared" si="37"/>
        <v/>
      </c>
    </row>
    <row r="276" spans="2:11" x14ac:dyDescent="0.2">
      <c r="E276" s="62" t="s">
        <v>74</v>
      </c>
      <c r="F276" s="51" t="str">
        <f>IF($F$6&lt;&gt;"Flanders","",Data!H68)</f>
        <v/>
      </c>
      <c r="G276" s="52" t="str">
        <f t="shared" si="34"/>
        <v/>
      </c>
      <c r="H276" s="53" t="str">
        <f>IF($F$6&lt;&gt;"Flanders","",'Results I'!$D$56)</f>
        <v/>
      </c>
      <c r="I276" s="52" t="str">
        <f t="shared" si="35"/>
        <v/>
      </c>
      <c r="J276" s="54" t="str">
        <f t="shared" si="36"/>
        <v/>
      </c>
      <c r="K276" s="55" t="str">
        <f t="shared" si="37"/>
        <v/>
      </c>
    </row>
    <row r="277" spans="2:11" x14ac:dyDescent="0.2">
      <c r="E277" s="62" t="s">
        <v>75</v>
      </c>
      <c r="F277" s="46" t="str">
        <f>IF($F$6&lt;&gt;"Flanders","",Data!H69)</f>
        <v/>
      </c>
      <c r="G277" s="23" t="str">
        <f t="shared" si="34"/>
        <v/>
      </c>
      <c r="H277" s="47" t="str">
        <f>IF($F$6&lt;&gt;"Flanders","",'Results I'!$D$56)</f>
        <v/>
      </c>
      <c r="I277" s="23" t="str">
        <f t="shared" si="35"/>
        <v/>
      </c>
      <c r="J277" s="48" t="str">
        <f t="shared" si="36"/>
        <v/>
      </c>
      <c r="K277" s="24" t="str">
        <f t="shared" si="37"/>
        <v/>
      </c>
    </row>
    <row r="278" spans="2:11" x14ac:dyDescent="0.2">
      <c r="E278" s="62" t="s">
        <v>76</v>
      </c>
      <c r="F278" s="51" t="str">
        <f>IF($F$6&lt;&gt;"Flanders","",Data!H70)</f>
        <v/>
      </c>
      <c r="G278" s="52" t="str">
        <f t="shared" si="34"/>
        <v/>
      </c>
      <c r="H278" s="53" t="str">
        <f>IF($F$6&lt;&gt;"Flanders","",'Results I'!$D$56)</f>
        <v/>
      </c>
      <c r="I278" s="52" t="str">
        <f t="shared" si="35"/>
        <v/>
      </c>
      <c r="J278" s="54" t="str">
        <f t="shared" si="36"/>
        <v/>
      </c>
      <c r="K278" s="55" t="str">
        <f t="shared" si="37"/>
        <v/>
      </c>
    </row>
    <row r="279" spans="2:11" x14ac:dyDescent="0.2">
      <c r="E279" s="62" t="s">
        <v>77</v>
      </c>
      <c r="F279" s="46" t="str">
        <f>IF($F$6&lt;&gt;"Flanders","",Data!H71)</f>
        <v/>
      </c>
      <c r="G279" s="23" t="str">
        <f t="shared" si="34"/>
        <v/>
      </c>
      <c r="H279" s="47" t="str">
        <f>IF($F$6&lt;&gt;"Flanders","",'Results I'!$D$56)</f>
        <v/>
      </c>
      <c r="I279" s="23" t="str">
        <f t="shared" si="35"/>
        <v/>
      </c>
      <c r="J279" s="48" t="str">
        <f t="shared" si="36"/>
        <v/>
      </c>
      <c r="K279" s="24" t="str">
        <f t="shared" si="37"/>
        <v/>
      </c>
    </row>
    <row r="280" spans="2:11" x14ac:dyDescent="0.2">
      <c r="E280" s="62" t="s">
        <v>78</v>
      </c>
      <c r="F280" s="51" t="str">
        <f>IF($F$6&lt;&gt;"Flanders","",Data!H72)</f>
        <v/>
      </c>
      <c r="G280" s="52" t="str">
        <f t="shared" si="34"/>
        <v/>
      </c>
      <c r="H280" s="53" t="str">
        <f>IF($F$6&lt;&gt;"Flanders","",'Results I'!$D$56)</f>
        <v/>
      </c>
      <c r="I280" s="52" t="str">
        <f t="shared" si="35"/>
        <v/>
      </c>
      <c r="J280" s="54" t="str">
        <f t="shared" si="36"/>
        <v/>
      </c>
      <c r="K280" s="55" t="str">
        <f t="shared" si="37"/>
        <v/>
      </c>
    </row>
    <row r="281" spans="2:11" ht="13.5" thickBot="1" x14ac:dyDescent="0.25">
      <c r="F281" s="49"/>
      <c r="H281" s="50"/>
      <c r="J281" s="56"/>
    </row>
    <row r="282" spans="2:11" ht="13.5" thickBot="1" x14ac:dyDescent="0.25">
      <c r="F282" s="49"/>
      <c r="H282" s="50"/>
      <c r="I282" s="57" t="s">
        <v>117</v>
      </c>
      <c r="J282" s="63">
        <f>SUM(J269:J280)</f>
        <v>0</v>
      </c>
      <c r="K282" s="64" t="s">
        <v>2</v>
      </c>
    </row>
    <row r="283" spans="2:11" ht="13.5" thickBot="1" x14ac:dyDescent="0.25">
      <c r="J283" s="56"/>
    </row>
    <row r="284" spans="2:11" ht="13.5" thickBot="1" x14ac:dyDescent="0.25">
      <c r="B284" s="28"/>
      <c r="C284" s="28"/>
      <c r="D284" s="28"/>
      <c r="E284" s="28"/>
      <c r="F284" s="28"/>
      <c r="G284" s="71"/>
      <c r="H284" s="28"/>
      <c r="I284" s="73" t="s">
        <v>118</v>
      </c>
      <c r="J284" s="58">
        <f>J244+J263+J282</f>
        <v>0</v>
      </c>
      <c r="K284" s="59" t="s">
        <v>2</v>
      </c>
    </row>
    <row r="285" spans="2:11" x14ac:dyDescent="0.2">
      <c r="J285" s="56"/>
    </row>
    <row r="286" spans="2:11" ht="13.5" customHeight="1" x14ac:dyDescent="0.2">
      <c r="B286" s="74"/>
      <c r="C286" s="74"/>
      <c r="D286" s="74"/>
      <c r="E286" s="74"/>
      <c r="F286" s="74"/>
      <c r="G286" s="75"/>
      <c r="H286" s="74"/>
      <c r="I286" s="75"/>
      <c r="J286" s="76"/>
      <c r="K286" s="75"/>
    </row>
    <row r="287" spans="2:11" ht="13.5" customHeight="1" thickBot="1" x14ac:dyDescent="0.25">
      <c r="J287" s="56"/>
    </row>
    <row r="288" spans="2:11" ht="16.5" customHeight="1" thickBot="1" x14ac:dyDescent="0.3">
      <c r="B288" s="167" t="s">
        <v>119</v>
      </c>
      <c r="C288" s="167"/>
      <c r="D288" s="167"/>
      <c r="E288" s="167"/>
      <c r="F288" s="167"/>
      <c r="G288" s="167"/>
      <c r="H288" s="167"/>
      <c r="I288" s="168"/>
      <c r="J288" s="77">
        <f>J58+J77+J103+J122</f>
        <v>0</v>
      </c>
      <c r="K288" s="78" t="s">
        <v>2</v>
      </c>
    </row>
    <row r="289" spans="2:11" ht="13.5" customHeight="1" thickBot="1" x14ac:dyDescent="0.25">
      <c r="J289" s="56"/>
    </row>
    <row r="290" spans="2:11" ht="16.5" thickBot="1" x14ac:dyDescent="0.3">
      <c r="B290" s="159" t="s">
        <v>120</v>
      </c>
      <c r="C290" s="159"/>
      <c r="D290" s="159"/>
      <c r="E290" s="159"/>
      <c r="F290" s="159"/>
      <c r="G290" s="159"/>
      <c r="H290" s="159"/>
      <c r="I290" s="160"/>
      <c r="J290" s="77">
        <f>J178+J284</f>
        <v>0</v>
      </c>
      <c r="K290" s="78" t="s">
        <v>2</v>
      </c>
    </row>
    <row r="291" spans="2:11" ht="13.5" customHeight="1" thickBot="1" x14ac:dyDescent="0.25"/>
    <row r="292" spans="2:11" ht="48.75" customHeight="1" thickBot="1" x14ac:dyDescent="0.3">
      <c r="B292" s="161" t="s">
        <v>164</v>
      </c>
      <c r="C292" s="161"/>
      <c r="D292" s="161"/>
      <c r="E292" s="161"/>
      <c r="F292" s="161"/>
      <c r="G292" s="161"/>
      <c r="H292" s="161"/>
      <c r="I292" s="162"/>
      <c r="J292" s="77">
        <f>J288+J290</f>
        <v>0</v>
      </c>
      <c r="K292" s="78" t="s">
        <v>2</v>
      </c>
    </row>
    <row r="293" spans="2:11" ht="13.5" customHeight="1" x14ac:dyDescent="0.2"/>
    <row r="294" spans="2:11" ht="13.5" customHeight="1" x14ac:dyDescent="0.2">
      <c r="B294" s="74"/>
      <c r="C294" s="74"/>
      <c r="D294" s="74"/>
      <c r="E294" s="74"/>
      <c r="F294" s="74"/>
      <c r="G294" s="75"/>
      <c r="H294" s="74"/>
      <c r="I294" s="75"/>
      <c r="J294" s="76"/>
      <c r="K294" s="75"/>
    </row>
    <row r="295" spans="2:11" ht="13.5" customHeight="1" thickBot="1" x14ac:dyDescent="0.25"/>
    <row r="296" spans="2:11" ht="33.75" customHeight="1" thickBot="1" x14ac:dyDescent="0.3">
      <c r="B296" s="159" t="s">
        <v>165</v>
      </c>
      <c r="C296" s="159"/>
      <c r="D296" s="159"/>
      <c r="E296" s="159"/>
      <c r="F296" s="159"/>
      <c r="G296" s="159"/>
      <c r="H296" s="159"/>
      <c r="I296" s="160"/>
      <c r="J296" s="143">
        <f>$J$223</f>
        <v>0</v>
      </c>
      <c r="K296" s="144" t="s">
        <v>2</v>
      </c>
    </row>
    <row r="297" spans="2:11" ht="13.5" customHeight="1" thickBot="1" x14ac:dyDescent="0.25">
      <c r="G297" s="17"/>
      <c r="I297" s="17"/>
      <c r="K297" s="17"/>
    </row>
    <row r="298" spans="2:11" ht="49.5" customHeight="1" thickBot="1" x14ac:dyDescent="0.3">
      <c r="B298" s="161" t="s">
        <v>166</v>
      </c>
      <c r="C298" s="161"/>
      <c r="D298" s="161"/>
      <c r="E298" s="161"/>
      <c r="F298" s="161"/>
      <c r="G298" s="161"/>
      <c r="H298" s="161"/>
      <c r="I298" s="162"/>
      <c r="J298" s="77">
        <f>$J$292+J296</f>
        <v>0</v>
      </c>
      <c r="K298" s="78" t="s">
        <v>2</v>
      </c>
    </row>
    <row r="299" spans="2:11" ht="13.5" customHeight="1" x14ac:dyDescent="0.2">
      <c r="G299" s="17"/>
      <c r="I299" s="17"/>
      <c r="K299" s="17"/>
    </row>
    <row r="300" spans="2:11" ht="13.5" customHeight="1" x14ac:dyDescent="0.2">
      <c r="G300" s="17"/>
      <c r="I300" s="17"/>
      <c r="K300" s="17"/>
    </row>
    <row r="301" spans="2:11" ht="13.5" customHeight="1" x14ac:dyDescent="0.2">
      <c r="G301" s="17"/>
      <c r="I301" s="17"/>
      <c r="K301" s="17"/>
    </row>
    <row r="302" spans="2:11" ht="13.5" customHeight="1" x14ac:dyDescent="0.2">
      <c r="G302" s="17"/>
      <c r="I302" s="17"/>
      <c r="K302" s="17"/>
    </row>
    <row r="303" spans="2:11" ht="13.5" customHeight="1" x14ac:dyDescent="0.2">
      <c r="G303" s="17"/>
      <c r="I303" s="17"/>
      <c r="K303" s="17"/>
    </row>
    <row r="304" spans="2:11" ht="13.5" customHeight="1" x14ac:dyDescent="0.2">
      <c r="G304" s="17"/>
      <c r="I304" s="17"/>
      <c r="K304" s="17"/>
    </row>
    <row r="305" spans="7:11" ht="13.5" customHeight="1" x14ac:dyDescent="0.2">
      <c r="G305" s="17"/>
      <c r="I305" s="17"/>
      <c r="K305" s="17"/>
    </row>
    <row r="306" spans="7:11" ht="13.5" customHeight="1" x14ac:dyDescent="0.2">
      <c r="G306" s="17"/>
      <c r="I306" s="17"/>
      <c r="K306" s="17"/>
    </row>
    <row r="307" spans="7:11" ht="13.5" customHeight="1" x14ac:dyDescent="0.2"/>
    <row r="308" spans="7:11" ht="13.5" customHeight="1" x14ac:dyDescent="0.2"/>
    <row r="309" spans="7:11" ht="13.5" customHeight="1" x14ac:dyDescent="0.2"/>
    <row r="310" spans="7:11" ht="13.5" customHeight="1" x14ac:dyDescent="0.2"/>
    <row r="311" spans="7:11" ht="13.5" customHeight="1" x14ac:dyDescent="0.2"/>
    <row r="312" spans="7:11" ht="13.5" customHeight="1" x14ac:dyDescent="0.2"/>
    <row r="313" spans="7:11" ht="13.5" customHeight="1" x14ac:dyDescent="0.2"/>
    <row r="314" spans="7:11" ht="13.5" customHeight="1" x14ac:dyDescent="0.2"/>
    <row r="315" spans="7:11" ht="13.5" customHeight="1" x14ac:dyDescent="0.2"/>
    <row r="316" spans="7:11" ht="13.5" customHeight="1" x14ac:dyDescent="0.2"/>
    <row r="317" spans="7:11" ht="13.5" customHeight="1" x14ac:dyDescent="0.2"/>
    <row r="318" spans="7:11" ht="13.5" customHeight="1" x14ac:dyDescent="0.2"/>
    <row r="319" spans="7:11" ht="13.5" customHeight="1" x14ac:dyDescent="0.2"/>
    <row r="320" spans="7:11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</sheetData>
  <sheetProtection algorithmName="SHA-512" hashValue="gW/XcmikP9jmsVoaBXoPiwfXwDPS2NC+515c13Msn9MxJVdMEIkzLKlrir2XeyqqTgQCLdr9IKX0G0UWXxMOqA==" saltValue="7rEGx+omdxUrSusDumHoHw==" spinCount="100000" sheet="1" objects="1" scenarios="1"/>
  <mergeCells count="10">
    <mergeCell ref="B296:I296"/>
    <mergeCell ref="B298:I298"/>
    <mergeCell ref="D97:I97"/>
    <mergeCell ref="D103:I103"/>
    <mergeCell ref="B292:I292"/>
    <mergeCell ref="E137:I137"/>
    <mergeCell ref="E176:I176"/>
    <mergeCell ref="B288:I288"/>
    <mergeCell ref="B290:I290"/>
    <mergeCell ref="E223:I223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G102"/>
  <sheetViews>
    <sheetView showGridLines="0" workbookViewId="0"/>
  </sheetViews>
  <sheetFormatPr defaultColWidth="9.140625" defaultRowHeight="12.75" x14ac:dyDescent="0.2"/>
  <cols>
    <col min="1" max="1" width="3.42578125" style="27" customWidth="1"/>
    <col min="2" max="4" width="9.140625" style="27"/>
    <col min="5" max="5" width="46.5703125" style="27" customWidth="1"/>
    <col min="6" max="7" width="28" style="27" bestFit="1" customWidth="1"/>
    <col min="8" max="8" width="28" style="27" customWidth="1"/>
    <col min="9" max="16384" width="9.140625" style="27"/>
  </cols>
  <sheetData>
    <row r="2" spans="2:7" ht="15.75" x14ac:dyDescent="0.25">
      <c r="B2" s="31" t="s">
        <v>43</v>
      </c>
    </row>
    <row r="3" spans="2:7" ht="15.75" x14ac:dyDescent="0.25">
      <c r="B3" s="2"/>
    </row>
    <row r="5" spans="2:7" ht="15.75" x14ac:dyDescent="0.25">
      <c r="B5" s="31" t="s">
        <v>44</v>
      </c>
    </row>
    <row r="7" spans="2:7" ht="15.75" thickBot="1" x14ac:dyDescent="0.25">
      <c r="C7" s="84" t="s">
        <v>45</v>
      </c>
    </row>
    <row r="8" spans="2:7" ht="13.5" thickBot="1" x14ac:dyDescent="0.25">
      <c r="F8" s="3" t="s">
        <v>121</v>
      </c>
    </row>
    <row r="9" spans="2:7" ht="15" x14ac:dyDescent="0.2">
      <c r="D9" s="171" t="s">
        <v>13</v>
      </c>
      <c r="E9" s="172"/>
      <c r="F9" s="4">
        <v>0.22009999999999999</v>
      </c>
      <c r="G9" s="85"/>
    </row>
    <row r="10" spans="2:7" ht="15" x14ac:dyDescent="0.2">
      <c r="D10" s="173" t="s">
        <v>14</v>
      </c>
      <c r="E10" s="174"/>
      <c r="F10" s="6">
        <v>0.39429999999999998</v>
      </c>
      <c r="G10" s="85"/>
    </row>
    <row r="11" spans="2:7" ht="15.75" thickBot="1" x14ac:dyDescent="0.25">
      <c r="D11" s="169" t="s">
        <v>15</v>
      </c>
      <c r="E11" s="170"/>
      <c r="F11" s="5">
        <v>0.57299999999999995</v>
      </c>
      <c r="G11" s="85"/>
    </row>
    <row r="12" spans="2:7" x14ac:dyDescent="0.2">
      <c r="F12" s="85"/>
      <c r="G12" s="85"/>
    </row>
    <row r="13" spans="2:7" ht="15" x14ac:dyDescent="0.2">
      <c r="C13" s="86"/>
      <c r="F13" s="85"/>
      <c r="G13" s="85"/>
    </row>
    <row r="14" spans="2:7" ht="15.75" thickBot="1" x14ac:dyDescent="0.25">
      <c r="C14" s="84" t="s">
        <v>46</v>
      </c>
      <c r="F14" s="85"/>
      <c r="G14" s="85"/>
    </row>
    <row r="15" spans="2:7" ht="13.5" thickBot="1" x14ac:dyDescent="0.25">
      <c r="F15" s="3" t="s">
        <v>122</v>
      </c>
      <c r="G15" s="85"/>
    </row>
    <row r="16" spans="2:7" ht="15" x14ac:dyDescent="0.2">
      <c r="D16" s="171" t="s">
        <v>13</v>
      </c>
      <c r="E16" s="172"/>
      <c r="F16" s="4">
        <v>5.5526999999999997</v>
      </c>
      <c r="G16" s="85"/>
    </row>
    <row r="17" spans="2:7" ht="15" x14ac:dyDescent="0.2">
      <c r="D17" s="173" t="s">
        <v>14</v>
      </c>
      <c r="E17" s="174"/>
      <c r="F17" s="6">
        <v>9.8285</v>
      </c>
      <c r="G17" s="85"/>
    </row>
    <row r="18" spans="2:7" ht="15.75" thickBot="1" x14ac:dyDescent="0.25">
      <c r="D18" s="169" t="s">
        <v>15</v>
      </c>
      <c r="E18" s="170"/>
      <c r="F18" s="5">
        <v>14.125500000000001</v>
      </c>
      <c r="G18" s="85"/>
    </row>
    <row r="19" spans="2:7" x14ac:dyDescent="0.2">
      <c r="F19" s="85"/>
      <c r="G19" s="85"/>
    </row>
    <row r="20" spans="2:7" x14ac:dyDescent="0.2">
      <c r="F20" s="85"/>
      <c r="G20" s="85"/>
    </row>
    <row r="21" spans="2:7" ht="12.75" customHeight="1" thickBot="1" x14ac:dyDescent="0.25">
      <c r="C21" s="84" t="s">
        <v>47</v>
      </c>
    </row>
    <row r="22" spans="2:7" ht="15.75" thickBot="1" x14ac:dyDescent="0.25">
      <c r="C22" s="84"/>
      <c r="F22" s="3" t="s">
        <v>49</v>
      </c>
      <c r="G22" s="3" t="s">
        <v>48</v>
      </c>
    </row>
    <row r="23" spans="2:7" ht="13.5" thickBot="1" x14ac:dyDescent="0.25">
      <c r="F23" s="3" t="s">
        <v>50</v>
      </c>
      <c r="G23" s="3" t="s">
        <v>50</v>
      </c>
    </row>
    <row r="24" spans="2:7" ht="15" x14ac:dyDescent="0.2">
      <c r="D24" s="171" t="s">
        <v>13</v>
      </c>
      <c r="E24" s="172"/>
      <c r="F24" s="4">
        <v>4.7011000000000003</v>
      </c>
      <c r="G24" s="4">
        <v>0.94020000000000004</v>
      </c>
    </row>
    <row r="25" spans="2:7" ht="15" x14ac:dyDescent="0.2">
      <c r="D25" s="173" t="s">
        <v>14</v>
      </c>
      <c r="E25" s="174"/>
      <c r="F25" s="6">
        <v>8.7589000000000006</v>
      </c>
      <c r="G25" s="6">
        <v>1.7518</v>
      </c>
    </row>
    <row r="26" spans="2:7" ht="15.75" thickBot="1" x14ac:dyDescent="0.25">
      <c r="D26" s="169" t="s">
        <v>15</v>
      </c>
      <c r="E26" s="170"/>
      <c r="F26" s="5">
        <v>15.9985</v>
      </c>
      <c r="G26" s="5">
        <v>3.1997</v>
      </c>
    </row>
    <row r="27" spans="2:7" x14ac:dyDescent="0.2">
      <c r="F27" s="85"/>
      <c r="G27" s="85"/>
    </row>
    <row r="28" spans="2:7" x14ac:dyDescent="0.2">
      <c r="F28" s="85"/>
      <c r="G28" s="85"/>
    </row>
    <row r="29" spans="2:7" ht="15.75" x14ac:dyDescent="0.25">
      <c r="B29" s="31" t="s">
        <v>51</v>
      </c>
      <c r="F29" s="85"/>
      <c r="G29" s="85"/>
    </row>
    <row r="30" spans="2:7" ht="13.5" thickBot="1" x14ac:dyDescent="0.25">
      <c r="F30" s="85"/>
      <c r="G30" s="85"/>
    </row>
    <row r="31" spans="2:7" ht="13.5" thickBot="1" x14ac:dyDescent="0.25">
      <c r="F31" s="3" t="s">
        <v>123</v>
      </c>
      <c r="G31" s="85"/>
    </row>
    <row r="32" spans="2:7" ht="15" x14ac:dyDescent="0.2">
      <c r="D32" s="171" t="s">
        <v>13</v>
      </c>
      <c r="E32" s="172"/>
      <c r="F32" s="4">
        <v>0.91959999999999997</v>
      </c>
      <c r="G32" s="85"/>
    </row>
    <row r="33" spans="2:7" ht="15" x14ac:dyDescent="0.2">
      <c r="D33" s="173" t="s">
        <v>14</v>
      </c>
      <c r="E33" s="174"/>
      <c r="F33" s="6">
        <v>1.4437</v>
      </c>
      <c r="G33" s="85"/>
    </row>
    <row r="34" spans="2:7" ht="15.75" thickBot="1" x14ac:dyDescent="0.25">
      <c r="D34" s="169" t="s">
        <v>15</v>
      </c>
      <c r="E34" s="170"/>
      <c r="F34" s="5">
        <v>2.2627999999999999</v>
      </c>
      <c r="G34" s="85"/>
    </row>
    <row r="35" spans="2:7" x14ac:dyDescent="0.2">
      <c r="F35" s="85"/>
      <c r="G35" s="85"/>
    </row>
    <row r="36" spans="2:7" x14ac:dyDescent="0.2">
      <c r="F36" s="85"/>
      <c r="G36" s="85"/>
    </row>
    <row r="37" spans="2:7" ht="15.75" x14ac:dyDescent="0.25">
      <c r="B37" s="16" t="s">
        <v>81</v>
      </c>
      <c r="F37" s="85"/>
      <c r="G37" s="85"/>
    </row>
    <row r="38" spans="2:7" x14ac:dyDescent="0.2">
      <c r="F38" s="85"/>
      <c r="G38" s="85"/>
    </row>
    <row r="39" spans="2:7" ht="15.75" thickBot="1" x14ac:dyDescent="0.25">
      <c r="C39" s="84" t="s">
        <v>52</v>
      </c>
      <c r="F39" s="85"/>
      <c r="G39" s="85"/>
    </row>
    <row r="40" spans="2:7" ht="13.5" thickBot="1" x14ac:dyDescent="0.25">
      <c r="F40" s="3" t="s">
        <v>123</v>
      </c>
      <c r="G40" s="85"/>
    </row>
    <row r="41" spans="2:7" ht="15" x14ac:dyDescent="0.2">
      <c r="D41" s="171" t="s">
        <v>13</v>
      </c>
      <c r="E41" s="172"/>
      <c r="F41" s="4">
        <v>0.72540000000000004</v>
      </c>
      <c r="G41" s="85"/>
    </row>
    <row r="42" spans="2:7" ht="15" x14ac:dyDescent="0.2">
      <c r="D42" s="173" t="s">
        <v>14</v>
      </c>
      <c r="E42" s="174"/>
      <c r="F42" s="6">
        <v>0.72540000000000004</v>
      </c>
      <c r="G42" s="85"/>
    </row>
    <row r="43" spans="2:7" ht="15.75" thickBot="1" x14ac:dyDescent="0.25">
      <c r="D43" s="169" t="s">
        <v>15</v>
      </c>
      <c r="E43" s="170"/>
      <c r="F43" s="5">
        <v>0.72540000000000004</v>
      </c>
      <c r="G43" s="85"/>
    </row>
    <row r="44" spans="2:7" x14ac:dyDescent="0.2">
      <c r="F44" s="85"/>
      <c r="G44" s="85"/>
    </row>
    <row r="45" spans="2:7" ht="15.75" thickBot="1" x14ac:dyDescent="0.25">
      <c r="C45" s="84" t="s">
        <v>53</v>
      </c>
      <c r="F45" s="85"/>
      <c r="G45" s="85"/>
    </row>
    <row r="46" spans="2:7" ht="13.5" thickBot="1" x14ac:dyDescent="0.25">
      <c r="F46" s="3" t="s">
        <v>124</v>
      </c>
      <c r="G46" s="85"/>
    </row>
    <row r="47" spans="2:7" ht="15" x14ac:dyDescent="0.2">
      <c r="D47" s="171" t="s">
        <v>13</v>
      </c>
      <c r="E47" s="172"/>
      <c r="F47" s="4">
        <v>0.6169</v>
      </c>
      <c r="G47" s="85"/>
    </row>
    <row r="48" spans="2:7" ht="15" x14ac:dyDescent="0.2">
      <c r="D48" s="173" t="s">
        <v>14</v>
      </c>
      <c r="E48" s="174"/>
      <c r="F48" s="6">
        <v>0.6169</v>
      </c>
      <c r="G48" s="85"/>
    </row>
    <row r="49" spans="2:7" ht="15.75" thickBot="1" x14ac:dyDescent="0.25">
      <c r="D49" s="169" t="s">
        <v>15</v>
      </c>
      <c r="E49" s="170"/>
      <c r="F49" s="5">
        <v>0.6169</v>
      </c>
      <c r="G49" s="85"/>
    </row>
    <row r="50" spans="2:7" x14ac:dyDescent="0.2">
      <c r="F50" s="85"/>
      <c r="G50" s="85"/>
    </row>
    <row r="51" spans="2:7" x14ac:dyDescent="0.2">
      <c r="F51" s="85"/>
      <c r="G51" s="85"/>
    </row>
    <row r="52" spans="2:7" ht="16.5" thickBot="1" x14ac:dyDescent="0.3">
      <c r="B52" s="31" t="s">
        <v>54</v>
      </c>
      <c r="F52" s="85"/>
      <c r="G52" s="85"/>
    </row>
    <row r="53" spans="2:7" ht="13.5" thickBot="1" x14ac:dyDescent="0.25">
      <c r="F53" s="3" t="s">
        <v>123</v>
      </c>
      <c r="G53" s="85"/>
    </row>
    <row r="54" spans="2:7" ht="15" x14ac:dyDescent="0.2">
      <c r="D54" s="171" t="s">
        <v>13</v>
      </c>
      <c r="E54" s="172"/>
      <c r="F54" s="4">
        <v>0.37190000000000001</v>
      </c>
      <c r="G54" s="85"/>
    </row>
    <row r="55" spans="2:7" ht="15" x14ac:dyDescent="0.2">
      <c r="D55" s="173" t="s">
        <v>14</v>
      </c>
      <c r="E55" s="174"/>
      <c r="F55" s="6">
        <v>0.37190000000000001</v>
      </c>
      <c r="G55" s="85"/>
    </row>
    <row r="56" spans="2:7" ht="15.75" thickBot="1" x14ac:dyDescent="0.25">
      <c r="D56" s="169" t="s">
        <v>15</v>
      </c>
      <c r="E56" s="170"/>
      <c r="F56" s="5">
        <v>0.37190000000000001</v>
      </c>
      <c r="G56" s="85"/>
    </row>
    <row r="57" spans="2:7" x14ac:dyDescent="0.2">
      <c r="F57" s="85"/>
      <c r="G57" s="85"/>
    </row>
    <row r="58" spans="2:7" x14ac:dyDescent="0.2">
      <c r="F58" s="85"/>
      <c r="G58" s="85"/>
    </row>
    <row r="59" spans="2:7" ht="15.75" x14ac:dyDescent="0.25">
      <c r="B59" s="31" t="s">
        <v>82</v>
      </c>
      <c r="F59" s="85"/>
      <c r="G59" s="85"/>
    </row>
    <row r="60" spans="2:7" x14ac:dyDescent="0.2">
      <c r="F60" s="85"/>
      <c r="G60" s="85"/>
    </row>
    <row r="61" spans="2:7" ht="15.75" thickBot="1" x14ac:dyDescent="0.25">
      <c r="C61" s="84" t="s">
        <v>179</v>
      </c>
      <c r="F61" s="85"/>
      <c r="G61" s="85"/>
    </row>
    <row r="62" spans="2:7" ht="13.5" thickBot="1" x14ac:dyDescent="0.25">
      <c r="F62" s="3" t="s">
        <v>123</v>
      </c>
      <c r="G62" s="85"/>
    </row>
    <row r="63" spans="2:7" ht="15" x14ac:dyDescent="0.2">
      <c r="D63" s="171" t="s">
        <v>13</v>
      </c>
      <c r="E63" s="172"/>
      <c r="F63" s="4">
        <v>0</v>
      </c>
      <c r="G63" s="85"/>
    </row>
    <row r="64" spans="2:7" ht="15" x14ac:dyDescent="0.2">
      <c r="D64" s="173" t="s">
        <v>14</v>
      </c>
      <c r="E64" s="174"/>
      <c r="F64" s="6">
        <v>2.2330999999999999</v>
      </c>
      <c r="G64" s="1"/>
    </row>
    <row r="65" spans="3:7" ht="15.75" thickBot="1" x14ac:dyDescent="0.25">
      <c r="D65" s="169" t="s">
        <v>15</v>
      </c>
      <c r="E65" s="170"/>
      <c r="F65" s="5">
        <v>2.2330999999999999</v>
      </c>
      <c r="G65" s="85"/>
    </row>
    <row r="66" spans="3:7" x14ac:dyDescent="0.2">
      <c r="F66" s="85"/>
      <c r="G66" s="85"/>
    </row>
    <row r="67" spans="3:7" x14ac:dyDescent="0.2">
      <c r="F67" s="85"/>
      <c r="G67" s="85"/>
    </row>
    <row r="68" spans="3:7" ht="15.75" thickBot="1" x14ac:dyDescent="0.25">
      <c r="C68" s="84" t="s">
        <v>185</v>
      </c>
      <c r="F68" s="85"/>
      <c r="G68" s="85"/>
    </row>
    <row r="69" spans="3:7" ht="13.5" thickBot="1" x14ac:dyDescent="0.25">
      <c r="F69" s="3" t="s">
        <v>123</v>
      </c>
      <c r="G69" s="85"/>
    </row>
    <row r="70" spans="3:7" ht="15" x14ac:dyDescent="0.2">
      <c r="D70" s="171" t="s">
        <v>13</v>
      </c>
      <c r="E70" s="172"/>
      <c r="F70" s="4">
        <v>0</v>
      </c>
      <c r="G70" s="85"/>
    </row>
    <row r="71" spans="3:7" ht="15" x14ac:dyDescent="0.2">
      <c r="D71" s="173" t="s">
        <v>14</v>
      </c>
      <c r="E71" s="174"/>
      <c r="F71" s="6">
        <v>2.5399999999999999E-2</v>
      </c>
      <c r="G71" s="85"/>
    </row>
    <row r="72" spans="3:7" ht="15.75" thickBot="1" x14ac:dyDescent="0.25">
      <c r="D72" s="169" t="s">
        <v>15</v>
      </c>
      <c r="E72" s="170"/>
      <c r="F72" s="5">
        <v>2.5399999999999999E-2</v>
      </c>
      <c r="G72" s="85"/>
    </row>
    <row r="73" spans="3:7" x14ac:dyDescent="0.2">
      <c r="F73" s="85"/>
      <c r="G73" s="85"/>
    </row>
    <row r="74" spans="3:7" x14ac:dyDescent="0.2">
      <c r="F74" s="85"/>
      <c r="G74" s="85"/>
    </row>
    <row r="75" spans="3:7" ht="15.75" thickBot="1" x14ac:dyDescent="0.25">
      <c r="C75" s="84" t="s">
        <v>186</v>
      </c>
      <c r="F75" s="85"/>
      <c r="G75" s="85"/>
    </row>
    <row r="76" spans="3:7" ht="15.75" thickBot="1" x14ac:dyDescent="0.25">
      <c r="C76" s="84"/>
      <c r="F76" s="3" t="s">
        <v>55</v>
      </c>
      <c r="G76" s="3" t="s">
        <v>56</v>
      </c>
    </row>
    <row r="77" spans="3:7" ht="13.5" thickBot="1" x14ac:dyDescent="0.25">
      <c r="F77" s="3" t="s">
        <v>123</v>
      </c>
      <c r="G77" s="3" t="s">
        <v>57</v>
      </c>
    </row>
    <row r="78" spans="3:7" ht="15" x14ac:dyDescent="0.2">
      <c r="D78" s="171" t="s">
        <v>13</v>
      </c>
      <c r="E78" s="172"/>
      <c r="F78" s="4">
        <v>0</v>
      </c>
      <c r="G78" s="4">
        <v>0</v>
      </c>
    </row>
    <row r="79" spans="3:7" ht="15" x14ac:dyDescent="0.2">
      <c r="D79" s="173" t="s">
        <v>14</v>
      </c>
      <c r="E79" s="174"/>
      <c r="F79" s="6">
        <v>13.815900000000001</v>
      </c>
      <c r="G79" s="6">
        <v>0</v>
      </c>
    </row>
    <row r="80" spans="3:7" ht="15.75" thickBot="1" x14ac:dyDescent="0.25">
      <c r="D80" s="169" t="s">
        <v>15</v>
      </c>
      <c r="E80" s="170"/>
      <c r="F80" s="5">
        <v>13.815900000000001</v>
      </c>
      <c r="G80" s="5">
        <v>0</v>
      </c>
    </row>
    <row r="81" spans="2:7" x14ac:dyDescent="0.2">
      <c r="F81" s="85"/>
      <c r="G81" s="85"/>
    </row>
    <row r="82" spans="2:7" ht="15.75" x14ac:dyDescent="0.25">
      <c r="B82" s="31" t="s">
        <v>83</v>
      </c>
      <c r="F82" s="85"/>
      <c r="G82" s="85"/>
    </row>
    <row r="83" spans="2:7" x14ac:dyDescent="0.2">
      <c r="F83" s="85"/>
      <c r="G83" s="85"/>
    </row>
    <row r="84" spans="2:7" ht="15.75" thickBot="1" x14ac:dyDescent="0.25">
      <c r="C84" s="84" t="s">
        <v>182</v>
      </c>
      <c r="F84" s="85"/>
      <c r="G84" s="85"/>
    </row>
    <row r="85" spans="2:7" ht="13.5" thickBot="1" x14ac:dyDescent="0.25">
      <c r="F85" s="3" t="s">
        <v>123</v>
      </c>
      <c r="G85" s="85"/>
    </row>
    <row r="86" spans="2:7" ht="15" x14ac:dyDescent="0.2">
      <c r="D86" s="171" t="s">
        <v>13</v>
      </c>
      <c r="E86" s="172"/>
      <c r="F86" s="4">
        <v>0</v>
      </c>
      <c r="G86" s="85"/>
    </row>
    <row r="87" spans="2:7" ht="15" x14ac:dyDescent="0.2">
      <c r="D87" s="173" t="s">
        <v>14</v>
      </c>
      <c r="E87" s="174"/>
      <c r="F87" s="6">
        <v>0.30740000000000001</v>
      </c>
      <c r="G87" s="85"/>
    </row>
    <row r="88" spans="2:7" ht="15.75" thickBot="1" x14ac:dyDescent="0.25">
      <c r="D88" s="169" t="s">
        <v>15</v>
      </c>
      <c r="E88" s="170"/>
      <c r="F88" s="5">
        <v>0.30740000000000001</v>
      </c>
      <c r="G88" s="85"/>
    </row>
    <row r="89" spans="2:7" x14ac:dyDescent="0.2">
      <c r="F89" s="85"/>
      <c r="G89" s="85"/>
    </row>
    <row r="90" spans="2:7" x14ac:dyDescent="0.2">
      <c r="F90" s="85"/>
      <c r="G90" s="85"/>
    </row>
    <row r="91" spans="2:7" ht="15.75" thickBot="1" x14ac:dyDescent="0.25">
      <c r="C91" s="84" t="s">
        <v>183</v>
      </c>
      <c r="F91" s="85"/>
      <c r="G91" s="85"/>
    </row>
    <row r="92" spans="2:7" ht="13.5" thickBot="1" x14ac:dyDescent="0.25">
      <c r="F92" s="3" t="s">
        <v>123</v>
      </c>
      <c r="G92" s="85"/>
    </row>
    <row r="93" spans="2:7" ht="15" x14ac:dyDescent="0.2">
      <c r="D93" s="171" t="s">
        <v>13</v>
      </c>
      <c r="E93" s="172"/>
      <c r="F93" s="4">
        <v>3.6034999999999999</v>
      </c>
      <c r="G93" s="85"/>
    </row>
    <row r="94" spans="2:7" ht="15" x14ac:dyDescent="0.2">
      <c r="D94" s="173" t="s">
        <v>14</v>
      </c>
      <c r="E94" s="174"/>
      <c r="F94" s="6">
        <v>3.6065</v>
      </c>
      <c r="G94" s="85"/>
    </row>
    <row r="95" spans="2:7" ht="15.75" thickBot="1" x14ac:dyDescent="0.25">
      <c r="D95" s="169" t="s">
        <v>15</v>
      </c>
      <c r="E95" s="170"/>
      <c r="F95" s="5">
        <v>0</v>
      </c>
      <c r="G95" s="85"/>
    </row>
    <row r="98" spans="3:7" ht="15.75" thickBot="1" x14ac:dyDescent="0.25">
      <c r="C98" s="84" t="s">
        <v>184</v>
      </c>
      <c r="F98" s="85"/>
      <c r="G98" s="85"/>
    </row>
    <row r="99" spans="3:7" ht="13.5" thickBot="1" x14ac:dyDescent="0.25">
      <c r="F99" s="3" t="s">
        <v>123</v>
      </c>
      <c r="G99" s="85"/>
    </row>
    <row r="100" spans="3:7" ht="15" x14ac:dyDescent="0.2">
      <c r="D100" s="171" t="s">
        <v>13</v>
      </c>
      <c r="E100" s="172"/>
      <c r="F100" s="4">
        <v>0.37190000000000001</v>
      </c>
      <c r="G100" s="85"/>
    </row>
    <row r="101" spans="3:7" ht="15" x14ac:dyDescent="0.2">
      <c r="D101" s="173" t="s">
        <v>14</v>
      </c>
      <c r="E101" s="174"/>
      <c r="F101" s="6">
        <v>0.37190000000000001</v>
      </c>
      <c r="G101" s="85"/>
    </row>
    <row r="102" spans="3:7" ht="15.75" thickBot="1" x14ac:dyDescent="0.25">
      <c r="D102" s="169" t="s">
        <v>15</v>
      </c>
      <c r="E102" s="170"/>
      <c r="F102" s="5">
        <v>0.37190000000000001</v>
      </c>
      <c r="G102" s="85"/>
    </row>
  </sheetData>
  <sheetProtection algorithmName="SHA-512" hashValue="LEOpwOW28kukHUvi5xDToOZjFOHWy3C5MBwRWHfTqP6NLL7SKxJHuieeP96OO2yIexSbkzR5ITQRnpnQeDcxVg==" saltValue="DsEy56k20/c1m00nzt8EZg==" spinCount="100000" sheet="1" objects="1" scenarios="1"/>
  <mergeCells count="39">
    <mergeCell ref="D18:E18"/>
    <mergeCell ref="D9:E9"/>
    <mergeCell ref="D10:E10"/>
    <mergeCell ref="D11:E11"/>
    <mergeCell ref="D16:E16"/>
    <mergeCell ref="D17:E17"/>
    <mergeCell ref="D33:E33"/>
    <mergeCell ref="D100:E100"/>
    <mergeCell ref="D101:E101"/>
    <mergeCell ref="D102:E102"/>
    <mergeCell ref="D24:E24"/>
    <mergeCell ref="D25:E25"/>
    <mergeCell ref="D26:E26"/>
    <mergeCell ref="D32:E32"/>
    <mergeCell ref="D34:E34"/>
    <mergeCell ref="D41:E41"/>
    <mergeCell ref="D42:E42"/>
    <mergeCell ref="D47:E47"/>
    <mergeCell ref="D48:E48"/>
    <mergeCell ref="D54:E54"/>
    <mergeCell ref="D55:E55"/>
    <mergeCell ref="D43:E43"/>
    <mergeCell ref="D49:E49"/>
    <mergeCell ref="D56:E56"/>
    <mergeCell ref="D71:E71"/>
    <mergeCell ref="D63:E63"/>
    <mergeCell ref="D64:E64"/>
    <mergeCell ref="D65:E65"/>
    <mergeCell ref="D70:E70"/>
    <mergeCell ref="D72:E72"/>
    <mergeCell ref="D78:E78"/>
    <mergeCell ref="D79:E79"/>
    <mergeCell ref="D88:E88"/>
    <mergeCell ref="D93:E93"/>
    <mergeCell ref="D95:E95"/>
    <mergeCell ref="D80:E80"/>
    <mergeCell ref="D86:E86"/>
    <mergeCell ref="D87:E87"/>
    <mergeCell ref="D94:E94"/>
  </mergeCells>
  <pageMargins left="0.70866141732283472" right="0.70866141732283472" top="0.74803149606299213" bottom="0.74803149606299213" header="0.31496062992125984" footer="0.31496062992125984"/>
  <pageSetup paperSize="8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60</vt:i4>
      </vt:variant>
    </vt:vector>
  </HeadingPairs>
  <TitlesOfParts>
    <vt:vector size="65" baseType="lpstr">
      <vt:lpstr>Introduction</vt:lpstr>
      <vt:lpstr>Data</vt:lpstr>
      <vt:lpstr>Results I</vt:lpstr>
      <vt:lpstr>Results II</vt:lpstr>
      <vt:lpstr>Tariffs</vt:lpstr>
      <vt:lpstr>Combinaison_pas_prévue</vt:lpstr>
      <vt:lpstr>Combinaison_pas_prévue_2</vt:lpstr>
      <vt:lpstr>D_DA</vt:lpstr>
      <vt:lpstr>D_Region</vt:lpstr>
      <vt:lpstr>D_TA</vt:lpstr>
      <vt:lpstr>D_Tension</vt:lpstr>
      <vt:lpstr>D_Type</vt:lpstr>
      <vt:lpstr>ENER_01</vt:lpstr>
      <vt:lpstr>ENER_02</vt:lpstr>
      <vt:lpstr>ENER_03</vt:lpstr>
      <vt:lpstr>ENER_04</vt:lpstr>
      <vt:lpstr>ENER_05</vt:lpstr>
      <vt:lpstr>ENER_06</vt:lpstr>
      <vt:lpstr>ENER_07</vt:lpstr>
      <vt:lpstr>ENER_08</vt:lpstr>
      <vt:lpstr>ENER_09</vt:lpstr>
      <vt:lpstr>ENER_10</vt:lpstr>
      <vt:lpstr>ENER_11</vt:lpstr>
      <vt:lpstr>ENER_12</vt:lpstr>
      <vt:lpstr>ENER_PC_PTE</vt:lpstr>
      <vt:lpstr>Energie_INJ</vt:lpstr>
      <vt:lpstr>Lignes_Energie_INJ</vt:lpstr>
      <vt:lpstr>NBH_01</vt:lpstr>
      <vt:lpstr>NBH_02</vt:lpstr>
      <vt:lpstr>NBH_03</vt:lpstr>
      <vt:lpstr>NBH_04</vt:lpstr>
      <vt:lpstr>NBH_05</vt:lpstr>
      <vt:lpstr>NBH_06</vt:lpstr>
      <vt:lpstr>NBH_07</vt:lpstr>
      <vt:lpstr>NBH_08</vt:lpstr>
      <vt:lpstr>NBH_09</vt:lpstr>
      <vt:lpstr>NBH_10</vt:lpstr>
      <vt:lpstr>NBH_11</vt:lpstr>
      <vt:lpstr>NBH_12</vt:lpstr>
      <vt:lpstr>Introduction!Print_Area</vt:lpstr>
      <vt:lpstr>PUIS_01</vt:lpstr>
      <vt:lpstr>PUIS_02</vt:lpstr>
      <vt:lpstr>PUIS_03</vt:lpstr>
      <vt:lpstr>PUIS_04</vt:lpstr>
      <vt:lpstr>PUIS_05</vt:lpstr>
      <vt:lpstr>PUIS_06</vt:lpstr>
      <vt:lpstr>PUIS_07</vt:lpstr>
      <vt:lpstr>PUIS_08</vt:lpstr>
      <vt:lpstr>PUIS_09</vt:lpstr>
      <vt:lpstr>PUIS_10</vt:lpstr>
      <vt:lpstr>PUIS_11</vt:lpstr>
      <vt:lpstr>PUIS_12</vt:lpstr>
      <vt:lpstr>Texte_DA</vt:lpstr>
      <vt:lpstr>Texte_RI_NIV</vt:lpstr>
      <vt:lpstr>Texte_RI_REG</vt:lpstr>
      <vt:lpstr>Texte_RI_TC</vt:lpstr>
      <vt:lpstr>Texte_RI_TP</vt:lpstr>
      <vt:lpstr>Texte_RII_DA</vt:lpstr>
      <vt:lpstr>Texte_RII_NIV</vt:lpstr>
      <vt:lpstr>Texte_RII_REG</vt:lpstr>
      <vt:lpstr>Texte_RII_TA</vt:lpstr>
      <vt:lpstr>Texte_RII_TC</vt:lpstr>
      <vt:lpstr>Texte_RII_TP</vt:lpstr>
      <vt:lpstr>Texte_Surcharges</vt:lpstr>
      <vt:lpstr>Texte_TA</vt:lpstr>
    </vt:vector>
  </TitlesOfParts>
  <Company>Elia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Chelman Olivier</dc:creator>
  <cp:lastModifiedBy>Chelman Olivier</cp:lastModifiedBy>
  <cp:lastPrinted>2016-09-15T07:31:23Z</cp:lastPrinted>
  <dcterms:created xsi:type="dcterms:W3CDTF">2015-07-15T11:28:46Z</dcterms:created>
  <dcterms:modified xsi:type="dcterms:W3CDTF">2022-01-26T13:48:44Z</dcterms:modified>
</cp:coreProperties>
</file>